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35E0EC7E-48C1-4182-9E09-AC1D2B86D6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35" i="1" l="1"/>
  <c r="C13" i="7"/>
  <c r="E13" i="7"/>
  <c r="C9" i="7"/>
  <c r="C35" i="1"/>
  <c r="B18" i="1" s="1"/>
  <c r="C36" i="4"/>
  <c r="C37" i="4" s="1"/>
  <c r="I32" i="3"/>
  <c r="E11" i="3"/>
  <c r="E59" i="3" s="1"/>
  <c r="E12" i="3"/>
  <c r="E13" i="3"/>
  <c r="E14" i="3"/>
  <c r="E15" i="3"/>
  <c r="E26" i="3" s="1"/>
  <c r="D26" i="3" s="1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D52" i="3"/>
  <c r="C20" i="4"/>
  <c r="I16" i="7"/>
  <c r="I19" i="7" s="1"/>
  <c r="F4" i="4" s="1"/>
  <c r="G16" i="7"/>
  <c r="G19" i="7"/>
  <c r="E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6" i="3" s="1"/>
  <c r="C42" i="3"/>
  <c r="D19" i="5"/>
  <c r="D20" i="5"/>
  <c r="D21" i="5"/>
  <c r="D22" i="5"/>
  <c r="D31" i="5"/>
  <c r="D32" i="5"/>
  <c r="D33" i="5"/>
  <c r="D30" i="5" s="1"/>
  <c r="D34" i="5"/>
  <c r="D35" i="5"/>
  <c r="D37" i="5"/>
  <c r="D38" i="5"/>
  <c r="D39" i="5"/>
  <c r="D40" i="5"/>
  <c r="D41" i="5"/>
  <c r="D36" i="5"/>
  <c r="E36" i="5" s="1"/>
  <c r="D43" i="5"/>
  <c r="D44" i="5"/>
  <c r="D45" i="5"/>
  <c r="D46" i="5"/>
  <c r="D42" i="5" s="1"/>
  <c r="E42" i="5" s="1"/>
  <c r="D47" i="5"/>
  <c r="D48" i="5"/>
  <c r="D50" i="5"/>
  <c r="D51" i="5"/>
  <c r="D49" i="5" s="1"/>
  <c r="E49" i="5" s="1"/>
  <c r="D52" i="5"/>
  <c r="D53" i="5"/>
  <c r="B69" i="5"/>
  <c r="B70" i="5"/>
  <c r="B71" i="5"/>
  <c r="E71" i="5"/>
  <c r="D54" i="5" a="1"/>
  <c r="D54" i="5" s="1"/>
  <c r="D56" i="5"/>
  <c r="D55" i="5" s="1"/>
  <c r="E55" i="5" s="1"/>
  <c r="D57" i="5"/>
  <c r="D58" i="5"/>
  <c r="D59" i="5"/>
  <c r="D60" i="5"/>
  <c r="D61" i="5"/>
  <c r="I15" i="7"/>
  <c r="I3" i="7"/>
  <c r="F3" i="4" s="1"/>
  <c r="G3" i="7"/>
  <c r="E3" i="4" s="1"/>
  <c r="B15" i="1"/>
  <c r="G24" i="4"/>
  <c r="F24" i="4"/>
  <c r="C12" i="1"/>
  <c r="D13" i="4" s="1"/>
  <c r="F42" i="1"/>
  <c r="F39" i="1"/>
  <c r="B16" i="1"/>
  <c r="C15" i="4"/>
  <c r="D5" i="7"/>
  <c r="D65" i="3"/>
  <c r="D33" i="2" s="1"/>
  <c r="D34" i="2" s="1"/>
  <c r="D4" i="7"/>
  <c r="D6" i="7"/>
  <c r="E6" i="1"/>
  <c r="C3" i="7" s="1"/>
  <c r="E26" i="1"/>
  <c r="E7" i="3"/>
  <c r="C26" i="4"/>
  <c r="G34" i="2"/>
  <c r="G35" i="2" s="1"/>
  <c r="H34" i="2"/>
  <c r="I34" i="2"/>
  <c r="J34" i="2"/>
  <c r="K34" i="2"/>
  <c r="K35" i="2" s="1"/>
  <c r="L34" i="2"/>
  <c r="M34" i="2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E16" i="1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/>
  <c r="I4" i="3"/>
  <c r="D6" i="1"/>
  <c r="C29" i="4"/>
  <c r="B3" i="4"/>
  <c r="C17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6" i="4" s="1"/>
  <c r="D37" i="4" s="1"/>
  <c r="C58" i="3"/>
  <c r="C12" i="7"/>
  <c r="C11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D20" i="4"/>
  <c r="I53" i="3"/>
  <c r="C25" i="3"/>
  <c r="I7" i="3" s="1"/>
  <c r="G11" i="7"/>
  <c r="G15" i="7"/>
  <c r="G17" i="7"/>
  <c r="I17" i="7"/>
  <c r="I18" i="7"/>
  <c r="G14" i="7"/>
  <c r="G18" i="7"/>
  <c r="C14" i="2"/>
  <c r="C16" i="2" s="1"/>
  <c r="D43" i="2"/>
  <c r="E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C13" i="2"/>
  <c r="C12" i="2" s="1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/>
  <c r="G44" i="2"/>
  <c r="H16" i="2"/>
  <c r="H45" i="2"/>
  <c r="H44" i="2"/>
  <c r="M13" i="2"/>
  <c r="M44" i="2"/>
  <c r="K16" i="2"/>
  <c r="K45" i="2"/>
  <c r="K44" i="2"/>
  <c r="C43" i="2"/>
  <c r="K15" i="2"/>
  <c r="L16" i="2"/>
  <c r="L45" i="2"/>
  <c r="L15" i="2"/>
  <c r="M16" i="2"/>
  <c r="M45" i="2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E12" i="2" s="1"/>
  <c r="I14" i="2"/>
  <c r="K13" i="2"/>
  <c r="K12" i="2"/>
  <c r="C33" i="2"/>
  <c r="C34" i="2" s="1"/>
  <c r="C25" i="4"/>
  <c r="I16" i="2"/>
  <c r="I45" i="2"/>
  <c r="I44" i="2"/>
  <c r="H15" i="2"/>
  <c r="I15" i="2"/>
  <c r="H17" i="2"/>
  <c r="K17" i="2"/>
  <c r="J17" i="2"/>
  <c r="G17" i="2"/>
  <c r="I13" i="2"/>
  <c r="I12" i="2"/>
  <c r="L17" i="2"/>
  <c r="C27" i="4"/>
  <c r="I17" i="2"/>
  <c r="D5" i="5" l="1"/>
  <c r="E5" i="5" s="1"/>
  <c r="E30" i="5"/>
  <c r="D62" i="5"/>
  <c r="E62" i="5" s="1"/>
  <c r="C16" i="7"/>
  <c r="C10" i="7"/>
  <c r="E10" i="7" s="1"/>
  <c r="E9" i="7" s="1"/>
  <c r="E11" i="7" s="1"/>
  <c r="E16" i="7" s="1"/>
  <c r="E7" i="7"/>
  <c r="E12" i="7" s="1"/>
  <c r="E13" i="4"/>
  <c r="E5" i="4"/>
  <c r="E14" i="4"/>
  <c r="F5" i="7"/>
  <c r="E8" i="7"/>
  <c r="F6" i="7"/>
  <c r="F4" i="7"/>
  <c r="C19" i="7"/>
  <c r="C14" i="7"/>
  <c r="F8" i="4"/>
  <c r="F9" i="4" s="1"/>
  <c r="F15" i="4" s="1"/>
  <c r="F13" i="4"/>
  <c r="F5" i="4"/>
  <c r="F14" i="4"/>
  <c r="E24" i="3"/>
  <c r="E42" i="3"/>
  <c r="D42" i="3" s="1"/>
  <c r="E58" i="3"/>
  <c r="D58" i="3" s="1"/>
  <c r="C19" i="4"/>
  <c r="D19" i="4" s="1"/>
  <c r="C18" i="4"/>
  <c r="D18" i="4" s="1"/>
  <c r="D59" i="3"/>
  <c r="C44" i="3"/>
  <c r="C45" i="3" s="1"/>
  <c r="I6" i="3"/>
  <c r="E44" i="3"/>
  <c r="I44" i="3" s="1"/>
  <c r="J44" i="3" s="1"/>
  <c r="E46" i="3"/>
  <c r="D46" i="3" s="1"/>
  <c r="I24" i="3"/>
  <c r="J24" i="3" s="1"/>
  <c r="E32" i="1"/>
  <c r="E33" i="1" s="1"/>
  <c r="I31" i="1"/>
  <c r="I32" i="1" s="1"/>
  <c r="I33" i="1" s="1"/>
  <c r="E50" i="3"/>
  <c r="D60" i="3" s="1"/>
  <c r="I27" i="1"/>
  <c r="E3" i="3"/>
  <c r="E15" i="2"/>
  <c r="F13" i="2"/>
  <c r="F12" i="2" s="1"/>
  <c r="F16" i="2"/>
  <c r="E16" i="2"/>
  <c r="E35" i="2" s="1"/>
  <c r="E44" i="2"/>
  <c r="D17" i="2"/>
  <c r="D45" i="2"/>
  <c r="D12" i="2"/>
  <c r="D15" i="2"/>
  <c r="D44" i="2"/>
  <c r="D13" i="2"/>
  <c r="D35" i="2"/>
  <c r="C45" i="2"/>
  <c r="C17" i="2"/>
  <c r="F4" i="2"/>
  <c r="C35" i="2"/>
  <c r="C15" i="2"/>
  <c r="C44" i="2"/>
  <c r="E3" i="7"/>
  <c r="D3" i="4" s="1"/>
  <c r="C3" i="4"/>
  <c r="G4" i="4"/>
  <c r="B24" i="4" s="1"/>
  <c r="G2" i="4" s="1"/>
  <c r="F18" i="1"/>
  <c r="F16" i="1"/>
  <c r="F37" i="4"/>
  <c r="C21" i="4"/>
  <c r="D50" i="3"/>
  <c r="F36" i="4"/>
  <c r="E8" i="4"/>
  <c r="E9" i="4" s="1"/>
  <c r="E15" i="4" s="1"/>
  <c r="C23" i="4"/>
  <c r="B3" i="7"/>
  <c r="G13" i="4"/>
  <c r="C11" i="1"/>
  <c r="E17" i="7" l="1"/>
  <c r="E14" i="7"/>
  <c r="E19" i="7"/>
  <c r="E15" i="7"/>
  <c r="C4" i="4"/>
  <c r="C18" i="7"/>
  <c r="E25" i="3"/>
  <c r="D24" i="3"/>
  <c r="D44" i="3"/>
  <c r="E45" i="3"/>
  <c r="D49" i="3"/>
  <c r="F17" i="2"/>
  <c r="F45" i="2"/>
  <c r="E45" i="2"/>
  <c r="E17" i="2"/>
  <c r="G18" i="4"/>
  <c r="D21" i="4"/>
  <c r="G21" i="4" s="1"/>
  <c r="C7" i="4" l="1"/>
  <c r="C8" i="4"/>
  <c r="C9" i="4" s="1"/>
  <c r="C10" i="4" s="1"/>
  <c r="E18" i="7"/>
  <c r="D4" i="4"/>
  <c r="J10" i="1"/>
  <c r="I25" i="3"/>
  <c r="J25" i="3" s="1"/>
  <c r="D25" i="3"/>
  <c r="D45" i="3"/>
  <c r="I45" i="3"/>
  <c r="J45" i="3" s="1"/>
  <c r="J26" i="3" s="1"/>
  <c r="D18" i="5" s="1"/>
  <c r="D7" i="4" l="1"/>
  <c r="D8" i="4" s="1"/>
  <c r="D14" i="4"/>
  <c r="G14" i="4" s="1"/>
  <c r="D5" i="4"/>
  <c r="D6" i="3"/>
  <c r="F21" i="4"/>
  <c r="G19" i="4"/>
  <c r="E64" i="5"/>
  <c r="E18" i="5"/>
  <c r="E20" i="4" l="1"/>
  <c r="D7" i="3"/>
  <c r="G29" i="4" s="1"/>
  <c r="E6" i="3"/>
  <c r="E36" i="4"/>
  <c r="E37" i="4"/>
  <c r="H16" i="1"/>
  <c r="D9" i="4"/>
  <c r="G8" i="4"/>
  <c r="G9" i="4" s="1"/>
  <c r="D64" i="5"/>
  <c r="E7" i="5" s="1"/>
  <c r="D7" i="5" s="1"/>
  <c r="D8" i="5" s="1"/>
  <c r="E8" i="5" s="1"/>
  <c r="F40" i="1"/>
  <c r="J18" i="1" l="1"/>
  <c r="J16" i="1"/>
  <c r="E26" i="4"/>
  <c r="F26" i="4" s="1"/>
  <c r="G26" i="4" s="1"/>
  <c r="E30" i="4" s="1"/>
  <c r="G12" i="4"/>
  <c r="G15" i="4" s="1"/>
  <c r="E25" i="4"/>
  <c r="F25" i="4" s="1"/>
  <c r="G25" i="4" s="1"/>
  <c r="C30" i="4" s="1"/>
  <c r="E27" i="4"/>
  <c r="F27" i="4" s="1"/>
  <c r="G27" i="4" s="1"/>
  <c r="D10" i="4"/>
  <c r="D15" i="4"/>
  <c r="F38" i="1"/>
  <c r="D14" i="1" l="1"/>
  <c r="F45" i="1" s="1"/>
  <c r="C33" i="4"/>
  <c r="D30" i="4"/>
  <c r="F14" i="1"/>
  <c r="F44" i="1" s="1"/>
  <c r="E48" i="1" l="1"/>
  <c r="F41" i="1"/>
  <c r="F33" i="4"/>
  <c r="E33" i="4"/>
  <c r="H14" i="1"/>
  <c r="B17" i="1" s="1"/>
  <c r="F48" i="1"/>
  <c r="D48" i="1" l="1"/>
  <c r="E41" i="1"/>
  <c r="F47" i="1" s="1"/>
  <c r="D17" i="1"/>
  <c r="D18" i="1"/>
  <c r="F17" i="1"/>
  <c r="J17" i="1"/>
  <c r="D16" i="1"/>
  <c r="E49" i="1" l="1"/>
  <c r="F49" i="1" s="1"/>
  <c r="B49" i="1"/>
  <c r="C49" i="1"/>
</calcChain>
</file>

<file path=xl/sharedStrings.xml><?xml version="1.0" encoding="utf-8"?>
<sst xmlns="http://schemas.openxmlformats.org/spreadsheetml/2006/main" count="418" uniqueCount="351">
  <si>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</si>
  <si>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</si>
  <si>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</si>
  <si>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</si>
  <si>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</si>
  <si>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</si>
  <si>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</si>
  <si>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</si>
  <si>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</si>
  <si>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</si>
  <si>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</si>
  <si>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</si>
  <si>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</si>
  <si>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</si>
  <si>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</si>
  <si>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</si>
  <si>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</si>
  <si>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</si>
  <si>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</si>
  <si>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</si>
  <si>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</si>
  <si>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</si>
  <si>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</si>
  <si>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</si>
  <si>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</si>
  <si>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</si>
  <si>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</si>
  <si>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</si>
  <si>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</si>
  <si>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</si>
  <si>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</si>
  <si>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</si>
  <si>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</si>
  <si>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</si>
  <si>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</si>
  <si>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</si>
  <si>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</si>
  <si>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</si>
  <si>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</si>
  <si>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</si>
  <si>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</si>
  <si>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</si>
  <si>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</si>
  <si>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</si>
  <si>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</si>
  <si>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</si>
  <si>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</si>
  <si>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</si>
  <si>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</si>
  <si>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</si>
  <si>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</si>
  <si>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</si>
  <si>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</si>
  <si>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</si>
  <si>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</si>
  <si>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</si>
  <si>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</si>
  <si>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</si>
  <si>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</si>
  <si>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</si>
  <si>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</si>
  <si>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</si>
  <si>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</si>
  <si>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</si>
  <si>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</si>
  <si>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</si>
  <si>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</si>
  <si>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</si>
  <si>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</si>
  <si>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</si>
  <si>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</si>
  <si>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</si>
  <si>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</si>
  <si>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</si>
  <si>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</si>
  <si>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</si>
  <si>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</si>
  <si>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</si>
  <si>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</si>
  <si>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</si>
  <si>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</si>
  <si>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</si>
  <si>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</si>
  <si>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</si>
  <si>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</si>
  <si>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</si>
  <si>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</si>
  <si>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</si>
  <si>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</si>
  <si>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</si>
  <si>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</si>
  <si>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</si>
  <si>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</si>
  <si>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</si>
  <si>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</si>
  <si>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</si>
  <si>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</si>
  <si>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</si>
  <si>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</si>
  <si>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</si>
  <si>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</si>
  <si>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</si>
  <si>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</si>
  <si>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</si>
  <si>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</si>
  <si>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</si>
  <si>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</si>
  <si>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</si>
  <si>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</si>
  <si>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</si>
  <si>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</si>
  <si>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</si>
  <si>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</si>
  <si>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</si>
  <si>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</si>
  <si>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</si>
  <si>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</si>
  <si>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</si>
  <si>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</si>
  <si>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</si>
  <si>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</si>
  <si>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</si>
  <si>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</si>
  <si>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</si>
  <si>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</si>
  <si>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</si>
  <si>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</si>
  <si>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</si>
  <si>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</si>
  <si>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</si>
  <si>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</si>
  <si>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</si>
  <si>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</si>
  <si>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</si>
  <si>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</si>
  <si>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</si>
  <si>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</si>
  <si>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</si>
  <si>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</si>
  <si>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</si>
  <si>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</si>
  <si>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</si>
  <si>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</si>
  <si>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</si>
  <si>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</si>
  <si>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</si>
  <si>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</si>
  <si>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</si>
  <si>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</si>
  <si>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</si>
  <si>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</si>
  <si>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</si>
  <si>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</si>
  <si>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</si>
  <si>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</si>
  <si>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</si>
  <si>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</si>
  <si>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</si>
  <si>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</si>
  <si>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</si>
  <si>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</si>
  <si>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</si>
  <si>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</si>
  <si>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</si>
  <si>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</si>
  <si>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</si>
  <si>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</si>
  <si>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</si>
  <si>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</si>
  <si>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</si>
  <si>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</si>
  <si>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</si>
  <si>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</si>
  <si>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</si>
  <si>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</si>
  <si>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</si>
  <si>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</si>
  <si>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</si>
  <si>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</si>
  <si>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</si>
  <si>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</si>
  <si>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</si>
  <si>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</si>
  <si>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</si>
  <si>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</si>
  <si>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</si>
  <si>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</si>
  <si>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</si>
  <si>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</si>
  <si>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</si>
  <si>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</si>
  <si>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</si>
  <si>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</si>
  <si>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</si>
  <si>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</si>
  <si>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</si>
  <si>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</si>
  <si>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</si>
  <si>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</si>
  <si>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</si>
  <si>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</si>
  <si>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</si>
  <si>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</si>
  <si>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</si>
  <si>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</si>
  <si>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</si>
  <si>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</si>
  <si>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</si>
  <si>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</si>
  <si>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</si>
  <si>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</si>
  <si>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</si>
  <si>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</si>
  <si>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</si>
  <si>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</si>
  <si>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</si>
  <si>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</si>
  <si>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</si>
  <si>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</si>
  <si>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</si>
  <si>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</si>
  <si>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</si>
  <si>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</si>
  <si>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</si>
  <si>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</si>
  <si>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</si>
  <si>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</si>
  <si>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</si>
  <si>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</si>
  <si>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</si>
  <si>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</si>
  <si>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</si>
  <si>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</si>
  <si>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</si>
  <si>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</si>
  <si>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</si>
  <si>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</si>
  <si>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</si>
  <si>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</si>
  <si>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</si>
  <si>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</si>
  <si>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</si>
  <si>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</si>
  <si>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</si>
  <si>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</si>
  <si>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</si>
  <si>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</si>
  <si>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</si>
  <si>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</si>
  <si>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</si>
  <si>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</si>
  <si>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</si>
  <si>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</si>
  <si>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</si>
  <si>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</si>
  <si>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</si>
  <si>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</si>
  <si>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</si>
  <si>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</si>
  <si>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</si>
  <si>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</si>
  <si>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</si>
  <si>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</si>
  <si>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</si>
  <si>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</si>
  <si>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</si>
  <si>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</si>
  <si>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</si>
  <si>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</si>
  <si>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</si>
  <si>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</si>
  <si>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</si>
  <si>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</si>
  <si>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</si>
  <si>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</si>
  <si>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</si>
  <si>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</si>
  <si>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</si>
  <si>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</si>
  <si>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</si>
  <si>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</si>
  <si>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</si>
  <si>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</si>
  <si>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</si>
  <si>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</si>
  <si>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</si>
  <si>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</si>
  <si>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</si>
  <si>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</si>
  <si>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</si>
  <si>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</si>
  <si>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</si>
  <si>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</si>
  <si>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</si>
  <si>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</si>
  <si>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</si>
  <si>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</si>
  <si>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</si>
  <si>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to a large degree, the company is State-owned</t>
  </si>
  <si>
    <t>A very important industry to the country</t>
  </si>
  <si>
    <t>Not in mainland China at least</t>
  </si>
  <si>
    <t>Next Buy Price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</si>
  <si>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</si>
  <si>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</si>
  <si>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</si>
  <si>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</si>
  <si>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</si>
  <si>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</si>
  <si>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</si>
  <si>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</si>
  <si>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</si>
  <si>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</si>
  <si>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</si>
  <si>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</si>
  <si>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</si>
  <si>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</si>
  <si>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</si>
  <si>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</si>
  <si>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</si>
  <si>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</si>
  <si>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</si>
  <si>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</si>
  <si>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</si>
  <si>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</si>
  <si>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 xml:space="preserve">Asset Plays </t>
  </si>
  <si>
    <t>FY</t>
  </si>
  <si>
    <t>Worst Case Asset Value</t>
  </si>
  <si>
    <t>= Net Non-operating Assets per share</t>
  </si>
  <si>
    <t>4. Is the upside very attractive? (20%+ is attractive)</t>
  </si>
  <si>
    <t>Expected Exit Price</t>
  </si>
  <si>
    <t>Best Guess Exit Price</t>
  </si>
  <si>
    <t>estimated using a PB of 1.45</t>
  </si>
  <si>
    <t>Investment Checklist</t>
  </si>
  <si>
    <t>1. Value Trap</t>
  </si>
  <si>
    <t>a) a company with mediocre dividend and low trading volume</t>
  </si>
  <si>
    <t>2. Growth Trap</t>
  </si>
  <si>
    <t>a) High growth company with unproven product and No margin of saftey</t>
  </si>
  <si>
    <t>0806.HK</t>
  </si>
  <si>
    <t>VALUE PARTNERS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</si>
  <si>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</si>
  <si>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</si>
  <si>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</si>
  <si>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</si>
  <si>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It's a HK listed hedge fund with net realizable assets higher than its market cap and a potentially profitable cyclical business.</t>
  </si>
  <si>
    <t>表現費</t>
  </si>
  <si>
    <t>管理費</t>
  </si>
  <si>
    <t>認購費</t>
  </si>
  <si>
    <t>Information Technology Like, 6.6y</t>
  </si>
  <si>
    <t>non-perishable</t>
  </si>
  <si>
    <t>Real Estate in HK has a long boom and burst cycle</t>
  </si>
  <si>
    <t>I think 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</si>
</sst>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0.000000000000000000%"/>
    <numFmt numFmtId="186" formatCode="&quot;Expected Exit Price @ &quot;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0" fontId="5" fillId="0" borderId="86" xfId="0" applyFont="1" applyBorder="1"/>
    <xf numFmtId="0" fontId="5" fillId="0" borderId="87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7" xfId="0" applyNumberFormat="1" applyFont="1" applyFill="1" applyBorder="1" applyAlignment="1">
      <alignment horizontal="center"/>
    </xf>
    <xf numFmtId="164" fontId="7" fillId="0" borderId="88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89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3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4" xfId="0" applyFont="1" applyBorder="1" applyAlignment="1">
      <alignment horizontal="center"/>
    </xf>
    <xf numFmtId="10" fontId="1" fillId="0" borderId="88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5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99" xfId="0" applyNumberFormat="1" applyFont="1" applyFill="1" applyBorder="1" applyAlignment="1">
      <alignment horizontal="center"/>
    </xf>
    <xf numFmtId="3" fontId="1" fillId="0" borderId="99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1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2" fillId="9" borderId="103" xfId="0" applyFont="1" applyFill="1" applyBorder="1" applyAlignment="1">
      <alignment horizontal="center"/>
    </xf>
    <xf numFmtId="3" fontId="1" fillId="0" borderId="104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173" fontId="2" fillId="8" borderId="106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5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0" fontId="5" fillId="0" borderId="57" xfId="0" applyFont="1" applyBorder="1"/>
    <xf numFmtId="3" fontId="1" fillId="0" borderId="108" xfId="0" applyNumberFormat="1" applyFont="1" applyBorder="1" applyAlignment="1">
      <alignment horizontal="left"/>
    </xf>
    <xf numFmtId="4" fontId="4" fillId="8" borderId="109" xfId="0" applyNumberFormat="1" applyFont="1" applyFill="1" applyBorder="1" applyAlignment="1">
      <alignment horizontal="right"/>
    </xf>
    <xf numFmtId="4" fontId="27" fillId="0" borderId="109" xfId="0" applyNumberFormat="1" applyFont="1" applyBorder="1" applyAlignment="1">
      <alignment horizontal="right"/>
    </xf>
    <xf numFmtId="186" fontId="2" fillId="8" borderId="57" xfId="0" applyNumberFormat="1" applyFont="1" applyFill="1" applyBorder="1" applyAlignment="1">
      <alignment horizontal="left"/>
    </xf>
    <xf numFmtId="10" fontId="2" fillId="0" borderId="11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0" xfId="0" applyFont="1" applyFill="1" applyBorder="1" applyAlignment="1">
      <alignment horizontal="center" vertical="center" wrapText="1"/>
    </xf>
    <xf numFmtId="0" fontId="13" fillId="9" borderId="91" xfId="0" applyFont="1" applyFill="1" applyBorder="1" applyAlignment="1">
      <alignment horizontal="center" vertical="center"/>
    </xf>
    <xf numFmtId="0" fontId="13" fillId="9" borderId="92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7" xfId="0" applyNumberFormat="1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0" fontId="2" fillId="16" borderId="95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H19" sqref="H19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2" t="s">
        <v>337</v>
      </c>
      <c r="D3" s="393"/>
      <c r="E3" s="15"/>
      <c r="G3" s="7" t="s">
        <v>2</v>
      </c>
      <c r="I3" s="404" t="s">
        <v>3</v>
      </c>
      <c r="J3" s="405"/>
    </row>
    <row r="4" spans="1:12" ht="15.75" customHeight="1">
      <c r="B4" s="5" t="s">
        <v>4</v>
      </c>
      <c r="C4" s="394" t="s">
        <v>338</v>
      </c>
      <c r="D4" s="395"/>
      <c r="E4" s="6"/>
      <c r="G4" s="5" t="s">
        <v>5</v>
      </c>
      <c r="I4" s="32">
        <v>2.5099999999999998</v>
      </c>
      <c r="J4" s="33" t="s">
        <v>6</v>
      </c>
      <c r="K4" s="152"/>
    </row>
    <row r="5" spans="1:12" ht="15.75" customHeight="1">
      <c r="B5" s="5" t="s">
        <v>7</v>
      </c>
      <c r="C5" s="396">
        <v>44771</v>
      </c>
      <c r="D5" s="395"/>
      <c r="E5" s="122" t="str">
        <f ca="1">IF(C5+30&gt;=TODAY(),"Patience Premium","")</f>
        <v/>
      </c>
      <c r="G5" s="5" t="s">
        <v>8</v>
      </c>
      <c r="I5" s="387">
        <v>1826710016</v>
      </c>
      <c r="J5" s="388"/>
      <c r="K5" s="151"/>
      <c r="L5" s="85"/>
    </row>
    <row r="6" spans="1:12" ht="15.75" customHeight="1">
      <c r="B6" s="12" t="s">
        <v>247</v>
      </c>
      <c r="C6" s="267">
        <v>8</v>
      </c>
      <c r="D6" s="268">
        <f>EOMONTH(EDATE(Asset_Model!D9,C6),0)</f>
        <v>45169</v>
      </c>
      <c r="E6" s="349">
        <f>IF(Asset_Model!E9="FY",Asset_Model!D9,Data!C3)</f>
        <v>44926</v>
      </c>
      <c r="G6" s="134" t="s">
        <v>9</v>
      </c>
      <c r="H6" s="133"/>
      <c r="I6" s="406">
        <f>I4*I5/1000000</f>
        <v>4585.0421401599997</v>
      </c>
      <c r="J6" s="407"/>
      <c r="K6" s="151"/>
    </row>
    <row r="7" spans="1:12" ht="15.75" customHeight="1">
      <c r="B7" s="139" t="s">
        <v>10</v>
      </c>
      <c r="C7" s="145">
        <f>(Data!C39*Exchange_Rate)/I4</f>
        <v>3.2198395453536283E-2</v>
      </c>
      <c r="D7" s="145">
        <f>(Data!C40*Exchange_Rate)/I4</f>
        <v>1.2703481935275615E-2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297"/>
      <c r="D9" s="295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264</v>
      </c>
      <c r="C10" s="296" t="s">
        <v>265</v>
      </c>
      <c r="D10" s="296">
        <v>2.8999999999999998E-2</v>
      </c>
      <c r="E10" s="5"/>
      <c r="G10" s="5" t="s">
        <v>14</v>
      </c>
      <c r="I10" s="138">
        <f>I4/(Data!C28*I12*Data!C4/Common_Shares)</f>
        <v>1.0202134218266701</v>
      </c>
      <c r="J10" s="130">
        <f>IF(Asset_Model!D60/'FCFF Model'!C4&lt;0,"Negative EV",Asset_Model!D60/'FCFF Model'!C4)</f>
        <v>14.213691970651809</v>
      </c>
    </row>
    <row r="11" spans="1:12" ht="15.75" customHeight="1" thickBot="1">
      <c r="B11" s="309" t="s">
        <v>266</v>
      </c>
      <c r="C11" s="418">
        <f ca="1">C12-D10</f>
        <v>5.1000000000000004E-2</v>
      </c>
      <c r="D11" s="419"/>
      <c r="E11" s="13"/>
      <c r="G11" s="5" t="s">
        <v>15</v>
      </c>
      <c r="H11" s="6"/>
      <c r="I11" s="416" t="s">
        <v>6</v>
      </c>
      <c r="J11" s="417"/>
    </row>
    <row r="12" spans="1:12" ht="15.75" customHeight="1" thickTop="1">
      <c r="B12" s="310" t="s">
        <v>145</v>
      </c>
      <c r="C12" s="424">
        <f ca="1">IF(C10="CN",8%,6%)*IF($C$5+30&gt;=TODAY(),1.2,1)</f>
        <v>0.08</v>
      </c>
      <c r="D12" s="425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127" t="s">
        <v>212</v>
      </c>
      <c r="D14" s="184">
        <f ca="1">MIN('FCFF Model'!C30,'FCFF Model'!E30)</f>
        <v>1.922270924467083</v>
      </c>
      <c r="E14" s="127" t="s">
        <v>226</v>
      </c>
      <c r="F14" s="184">
        <f ca="1">MAX('FCFF Model'!C30,'FCFF Model'!E30)</f>
        <v>1.94</v>
      </c>
      <c r="G14" s="185" t="s">
        <v>24</v>
      </c>
      <c r="H14" s="193">
        <f ca="1">IF('FCFF Model'!C33&lt;0, "Error", 'FCFF Model'!C33)</f>
        <v>1.9327487176525699</v>
      </c>
      <c r="I14" s="133"/>
      <c r="J14" s="133"/>
    </row>
    <row r="15" spans="1:12" ht="15.75" customHeight="1">
      <c r="A15" s="6"/>
      <c r="B15" s="233" t="str">
        <f>"(in "&amp;J4&amp;")"</f>
        <v>(in HKD)</v>
      </c>
      <c r="C15" s="237" t="s">
        <v>241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2.5099999999999998</v>
      </c>
      <c r="C16" s="431">
        <v>0.1</v>
      </c>
      <c r="D16" s="159" t="str">
        <f ca="1">IF(B17='FCFF Model'!G29,"Net Asset", H14/B16-1-C16)</f>
        <v>Net Asset</v>
      </c>
      <c r="E16" s="428">
        <f>'FCFF Model'!D11*Exchange_Rate</f>
        <v>0.22</v>
      </c>
      <c r="F16" s="161">
        <f>E16/B16</f>
        <v>8.7649402390438252E-2</v>
      </c>
      <c r="G16" s="411" t="s">
        <v>25</v>
      </c>
      <c r="H16" s="408">
        <f>('FCFF Model'!G19)*Exchange_Rate</f>
        <v>1.9065785589911606</v>
      </c>
      <c r="I16" s="411" t="s">
        <v>26</v>
      </c>
      <c r="J16" s="206">
        <f>B16-$H$16</f>
        <v>0.60342144100883921</v>
      </c>
    </row>
    <row r="17" spans="1:10" ht="15.75" customHeight="1">
      <c r="B17" s="286">
        <f ca="1">MAX(H14/(1+C16),'FCFF Model'!G29)</f>
        <v>1.9065785589911606</v>
      </c>
      <c r="C17" s="432"/>
      <c r="D17" s="285" t="str">
        <f ca="1">IF(B17='FCFF Model'!G29,"Net Asset",H14/B17-1-C16)</f>
        <v>Net Asset</v>
      </c>
      <c r="E17" s="429"/>
      <c r="F17" s="162">
        <f ca="1">E16/B17</f>
        <v>0.11538994759094004</v>
      </c>
      <c r="G17" s="412"/>
      <c r="H17" s="409"/>
      <c r="I17" s="412"/>
      <c r="J17" s="205">
        <f ca="1">B17-$H$16</f>
        <v>0</v>
      </c>
    </row>
    <row r="18" spans="1:10" ht="15.75" customHeight="1">
      <c r="B18" s="351">
        <f>C35</f>
        <v>2.2000000000000002</v>
      </c>
      <c r="C18" s="433"/>
      <c r="D18" s="160" t="str">
        <f ca="1">IF(B17='FCFF Model'!G29,"NA: "&amp;ROUND('FCFF Model'!G29/B18-1,2)*100&amp;"%", H14/B18-1-C16)</f>
        <v>NA: -13%</v>
      </c>
      <c r="E18" s="430"/>
      <c r="F18" s="163">
        <f>E16/B18</f>
        <v>9.9999999999999992E-2</v>
      </c>
      <c r="G18" s="413"/>
      <c r="H18" s="410"/>
      <c r="I18" s="413"/>
      <c r="J18" s="207">
        <f>B18-$H$16</f>
        <v>0.2934214410088396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245</v>
      </c>
      <c r="D20" s="287" t="s">
        <v>324</v>
      </c>
      <c r="E20" s="264" t="s">
        <v>255</v>
      </c>
      <c r="G20" s="6"/>
      <c r="H20" s="6"/>
      <c r="I20" s="353"/>
    </row>
    <row r="21" spans="1:10" ht="15.75" customHeight="1">
      <c r="A21" s="6"/>
      <c r="B21" s="24" t="s">
        <v>28</v>
      </c>
      <c r="C21" s="399" t="s">
        <v>343</v>
      </c>
      <c r="D21" s="400"/>
      <c r="E21" s="400"/>
      <c r="F21" s="400"/>
      <c r="G21" s="400"/>
      <c r="H21" s="400"/>
      <c r="I21" s="400"/>
      <c r="J21" s="401"/>
    </row>
    <row r="22" spans="1:10" ht="52.5" customHeight="1">
      <c r="A22" s="6"/>
      <c r="B22" s="24" t="s">
        <v>29</v>
      </c>
      <c r="C22" s="415" t="s">
        <v>339</v>
      </c>
      <c r="D22" s="375"/>
      <c r="E22" s="375"/>
      <c r="F22" s="375"/>
      <c r="G22" s="415" t="s">
        <v>340</v>
      </c>
      <c r="H22" s="415"/>
      <c r="I22" s="375"/>
      <c r="J22" s="375"/>
    </row>
    <row r="23" spans="1:10" ht="52.5" customHeight="1">
      <c r="A23" s="6"/>
      <c r="B23" s="25" t="s">
        <v>30</v>
      </c>
      <c r="C23" s="402" t="s">
        <v>341</v>
      </c>
      <c r="D23" s="403"/>
      <c r="E23" s="403"/>
      <c r="F23" s="403"/>
      <c r="G23" s="402" t="s">
        <v>342</v>
      </c>
      <c r="H23" s="402"/>
      <c r="I23" s="403"/>
      <c r="J23" s="40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/>
      <c r="G25" s="12"/>
      <c r="H25" s="371"/>
      <c r="I25" s="30"/>
      <c r="J25" s="350"/>
    </row>
    <row r="26" spans="1:10" ht="15.75" customHeight="1">
      <c r="B26" s="23" t="s">
        <v>33</v>
      </c>
      <c r="C26" s="397"/>
      <c r="D26" s="398"/>
      <c r="E26" s="437" t="str">
        <f>IF(C26="","","Action_Planning")</f>
        <v/>
      </c>
      <c r="F26" s="438"/>
      <c r="G26" s="438"/>
      <c r="H26" s="439"/>
      <c r="I26" s="414" t="s">
        <v>34</v>
      </c>
      <c r="J26" s="414"/>
    </row>
    <row r="27" spans="1:10" ht="15.75" customHeight="1">
      <c r="B27" s="23" t="s">
        <v>35</v>
      </c>
      <c r="C27" s="427">
        <f>C31/D25</f>
        <v>0.14666666666666667</v>
      </c>
      <c r="D27" s="386"/>
      <c r="E27" s="426">
        <f>E31/D25</f>
        <v>0</v>
      </c>
      <c r="F27" s="386"/>
      <c r="G27" s="435">
        <f>G31/D25</f>
        <v>0</v>
      </c>
      <c r="H27" s="436"/>
      <c r="I27" s="434">
        <f>C27+E27+G27</f>
        <v>0.14666666666666667</v>
      </c>
      <c r="J27" s="434"/>
    </row>
    <row r="28" spans="1:10" ht="15.75" customHeight="1">
      <c r="B28" s="23" t="s">
        <v>36</v>
      </c>
      <c r="C28" s="374">
        <v>40000</v>
      </c>
      <c r="D28" s="375"/>
      <c r="E28" s="374"/>
      <c r="F28" s="375"/>
      <c r="G28" s="387"/>
      <c r="H28" s="388"/>
      <c r="I28" s="391">
        <f>C28+E28+G28</f>
        <v>40000</v>
      </c>
      <c r="J28" s="391"/>
    </row>
    <row r="29" spans="1:10" ht="15.75" customHeight="1">
      <c r="B29" s="23" t="s">
        <v>37</v>
      </c>
      <c r="C29" s="376">
        <v>2.2000000000000002</v>
      </c>
      <c r="D29" s="375"/>
      <c r="E29" s="376"/>
      <c r="F29" s="375"/>
      <c r="G29" s="440"/>
      <c r="H29" s="441"/>
      <c r="I29" s="389"/>
      <c r="J29" s="389"/>
    </row>
    <row r="30" spans="1:10" ht="15.75" customHeight="1">
      <c r="B30" s="23" t="s">
        <v>38</v>
      </c>
      <c r="C30" s="372">
        <f>C29*$I$5/1000000</f>
        <v>4018.7620352000004</v>
      </c>
      <c r="D30" s="373"/>
      <c r="E30" s="372">
        <f>E29*$I$5/1000000</f>
        <v>0</v>
      </c>
      <c r="F30" s="373"/>
      <c r="G30" s="442">
        <f>G29*$I$5/1000000</f>
        <v>0</v>
      </c>
      <c r="H30" s="443"/>
      <c r="I30" s="390"/>
      <c r="J30" s="390"/>
    </row>
    <row r="31" spans="1:10" ht="15.75" customHeight="1">
      <c r="B31" s="2" t="s">
        <v>39</v>
      </c>
      <c r="C31" s="381">
        <f>C28*C29</f>
        <v>88000</v>
      </c>
      <c r="D31" s="382"/>
      <c r="E31" s="383">
        <f>E28*E29</f>
        <v>0</v>
      </c>
      <c r="F31" s="384"/>
      <c r="G31" s="444">
        <f>G28*G29</f>
        <v>0</v>
      </c>
      <c r="H31" s="445"/>
      <c r="I31" s="383">
        <f>C31+E31+G31</f>
        <v>88000</v>
      </c>
      <c r="J31" s="383"/>
    </row>
    <row r="32" spans="1:10" ht="15.75" customHeight="1">
      <c r="B32" s="1" t="s">
        <v>40</v>
      </c>
      <c r="C32" s="377"/>
      <c r="D32" s="378"/>
      <c r="E32" s="385">
        <f>IF(C31=0,"-",(C31+E31)/(C28+E28))</f>
        <v>2.2000000000000002</v>
      </c>
      <c r="F32" s="386"/>
      <c r="G32" s="117"/>
      <c r="H32" s="117"/>
      <c r="I32" s="385">
        <f>IF(I31=0,"",I31/I28)</f>
        <v>2.2000000000000002</v>
      </c>
      <c r="J32" s="385"/>
    </row>
    <row r="33" spans="2:11" ht="15.75" customHeight="1">
      <c r="B33" s="1" t="s">
        <v>41</v>
      </c>
      <c r="C33" s="379"/>
      <c r="D33" s="380"/>
      <c r="E33" s="372">
        <f>IF(E32="-","-",E32*$I$5/1000000)</f>
        <v>4018.7620352000004</v>
      </c>
      <c r="F33" s="373"/>
      <c r="G33" s="118"/>
      <c r="H33" s="118"/>
      <c r="I33" s="372">
        <f>IF(I32="","",I32*$I$5/1000000)</f>
        <v>4018.7620352000004</v>
      </c>
      <c r="J33" s="372"/>
    </row>
    <row r="34" spans="2:11" ht="15.75" customHeight="1"/>
    <row r="35" spans="2:11" ht="15.75" customHeight="1">
      <c r="B35" s="146" t="s">
        <v>301</v>
      </c>
      <c r="C35" s="420">
        <f>C29</f>
        <v>2.2000000000000002</v>
      </c>
      <c r="D35" s="421"/>
      <c r="G35" s="422" t="s">
        <v>302</v>
      </c>
      <c r="H35" s="423"/>
      <c r="I35" s="420">
        <f>'FCFF Model'!C37</f>
        <v>2.8539126595559221</v>
      </c>
      <c r="J35" s="421"/>
    </row>
    <row r="36" spans="2:11" ht="15.75" customHeight="1"/>
    <row r="37" spans="2:11" ht="15.75" customHeight="1">
      <c r="B37" s="21" t="s">
        <v>312</v>
      </c>
      <c r="G37" s="343" t="s">
        <v>136</v>
      </c>
      <c r="H37" s="133"/>
      <c r="I37" s="133"/>
      <c r="J37" s="133"/>
      <c r="K37" s="352"/>
    </row>
    <row r="38" spans="2:11" ht="15.75" customHeight="1">
      <c r="B38" s="3" t="s">
        <v>315</v>
      </c>
      <c r="F38" s="213">
        <f>'Qualitative Analysis'!E8</f>
        <v>0.67</v>
      </c>
      <c r="G38" s="360"/>
      <c r="H38" s="116"/>
      <c r="I38" s="116"/>
      <c r="J38" s="116"/>
    </row>
    <row r="39" spans="2:11" ht="15.75" customHeight="1">
      <c r="B39" s="3" t="s">
        <v>314</v>
      </c>
      <c r="F39" s="213">
        <f>80%-(5%*IF(LEFT(D20,2)="St",1,IF(LEFT(D20,2)="Sl",2,IF(LEFT(D20,2)="Cy",3,IF(LEFT(D20,2)="Fa",4,IF(LEFT(D20,2)="Tu",5,0))))))</f>
        <v>0.8</v>
      </c>
      <c r="G39" s="74"/>
      <c r="H39" s="74"/>
      <c r="I39" s="74"/>
      <c r="J39" s="74"/>
    </row>
    <row r="40" spans="2:11" ht="15.75" customHeight="1">
      <c r="B40" s="3" t="s">
        <v>321</v>
      </c>
      <c r="E40" s="354"/>
      <c r="F40" s="357">
        <f>'Qualitative Analysis'!E64</f>
        <v>0.5909948979591837</v>
      </c>
      <c r="G40" s="360" t="s">
        <v>313</v>
      </c>
      <c r="H40" s="116"/>
      <c r="I40" s="116"/>
      <c r="J40" s="116"/>
    </row>
    <row r="41" spans="2:11" ht="15.75" customHeight="1">
      <c r="B41" s="3" t="s">
        <v>328</v>
      </c>
      <c r="E41" s="354">
        <f>IF(F41="Strongly disagree",0,IF(F41="disagree",1,IF(F41="So-so",2,IF(F41="agree",3,4))))/4</f>
        <v>0.75</v>
      </c>
      <c r="F41" s="102" t="str">
        <f>IF(F44&lt;D10,"Strongly Disagree",IF(F44&lt;10%,"Disagree",IF(F44&gt;=30%,"Strongly Agree",IF(F44&gt;=20%,"Agree","So-so"))))</f>
        <v>Agree</v>
      </c>
      <c r="G41" s="74" t="s">
        <v>316</v>
      </c>
      <c r="H41" s="74"/>
      <c r="I41" s="74"/>
      <c r="J41" s="74"/>
    </row>
    <row r="42" spans="2:11" ht="15.75" customHeight="1">
      <c r="B42" s="3" t="s">
        <v>323</v>
      </c>
      <c r="F42" s="361">
        <f>AVERAGE(80%*0.5,0.6)</f>
        <v>0.5</v>
      </c>
      <c r="G42" s="116"/>
      <c r="H42" s="116"/>
      <c r="I42" s="116"/>
      <c r="J42" s="116"/>
    </row>
    <row r="43" spans="2:11" ht="15.75" customHeight="1"/>
    <row r="44" spans="2:11" ht="15.75" customHeight="1">
      <c r="B44" s="3" t="s">
        <v>317</v>
      </c>
      <c r="F44" s="361">
        <f>I35/C29-1</f>
        <v>0.29723302707087362</v>
      </c>
    </row>
    <row r="45" spans="2:11" ht="15.75" customHeight="1">
      <c r="B45" s="3" t="s">
        <v>318</v>
      </c>
      <c r="F45" s="361">
        <f ca="1">D14/C29-1</f>
        <v>-0.12624048887859873</v>
      </c>
    </row>
    <row r="46" spans="2:11" ht="15.75" customHeight="1"/>
    <row r="47" spans="2:11" ht="15.75" customHeight="1">
      <c r="B47" s="3" t="s">
        <v>320</v>
      </c>
      <c r="F47" s="213">
        <f>IF(F44&lt;=0,0,AVERAGE(F38:F40,1-F42,E41))</f>
        <v>0.66219897959183682</v>
      </c>
      <c r="G47" s="74"/>
    </row>
    <row r="48" spans="2:11" ht="15.75" customHeight="1">
      <c r="B48" s="3" t="s">
        <v>319</v>
      </c>
      <c r="D48" s="363">
        <f>IF(F41="Strongly Agree",2,IF(F41="Agree",3,4))</f>
        <v>3</v>
      </c>
      <c r="E48" s="359">
        <f ca="1">F44/ABS(F45)</f>
        <v>2.3544983840858911</v>
      </c>
      <c r="F48" s="356">
        <f ca="1">IF(F45&gt;=0,100,F44/ABS(F45))</f>
        <v>2.3544983840858911</v>
      </c>
      <c r="G48" s="74"/>
    </row>
    <row r="49" spans="2:8" ht="15.75" customHeight="1">
      <c r="B49" s="364" t="str">
        <f>IF(D48=2,"⇒ 1/2 Kelly %",IF(D48=3, "⇒ 1/3 Kelly %", "⇒ 1/4 Kelly %"))</f>
        <v>⇒ 1/3 Kelly %</v>
      </c>
      <c r="C49" s="85" t="str">
        <f>" [W – (1 – W)/R] /"&amp;D48</f>
        <v xml:space="preserve"> [W – (1 – W)/R] /3</v>
      </c>
      <c r="E49" s="107">
        <f ca="1">MAX(F47-ABS((1-F47)/F48),0)/D48</f>
        <v>0.17290949886102344</v>
      </c>
      <c r="F49" s="355">
        <f ca="1">MIN(E49,H49)</f>
        <v>0.17290949886102344</v>
      </c>
      <c r="G49" s="358" t="s">
        <v>322</v>
      </c>
      <c r="H49" s="78">
        <v>0.4</v>
      </c>
    </row>
    <row r="50" spans="2:8" ht="15.75" customHeight="1"/>
    <row r="51" spans="2:8" ht="15.75" customHeight="1">
      <c r="B51" s="21" t="s">
        <v>332</v>
      </c>
    </row>
    <row r="52" spans="2:8" ht="15.75" customHeight="1">
      <c r="B52" s="3" t="s">
        <v>333</v>
      </c>
    </row>
    <row r="53" spans="2:8" ht="15.75" customHeight="1">
      <c r="B53" s="3" t="s">
        <v>334</v>
      </c>
    </row>
    <row r="54" spans="2:8" ht="15.75" customHeight="1"/>
    <row r="55" spans="2:8" ht="15.75" customHeight="1">
      <c r="B55" s="3" t="s">
        <v>335</v>
      </c>
    </row>
    <row r="56" spans="2:8" ht="15.75" customHeight="1">
      <c r="B56" s="3" t="s">
        <v>336</v>
      </c>
    </row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1">
    <mergeCell ref="C35:D35"/>
    <mergeCell ref="I35:J35"/>
    <mergeCell ref="G35:H35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G29:H29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2" type="noConversion"/>
  <conditionalFormatting sqref="B16">
    <cfRule type="cellIs" dxfId="17" priority="5" operator="lessThan">
      <formula>$B$18</formula>
    </cfRule>
  </conditionalFormatting>
  <conditionalFormatting sqref="C35:D35">
    <cfRule type="containsBlanks" priority="9">
      <formula>LEN(TRIM(C35))=0</formula>
    </cfRule>
  </conditionalFormatting>
  <conditionalFormatting sqref="C26:E26 I26 C28:G29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8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5">
    <cfRule type="containsBlanks" priority="3">
      <formula>LEN(TRIM(I35))=0</formula>
    </cfRule>
  </conditionalFormatting>
  <conditionalFormatting sqref="K37">
    <cfRule type="containsBlanks" priority="7">
      <formula>LEN(TRIM(K37))=0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1" xr:uid="{93A0A854-6906-47E5-9CB9-89F531648935}">
      <formula1>"Strongly Agree,Agree,So-so,Disagree,Strongly Disagree"</formula1>
    </dataValidation>
    <dataValidation type="list" allowBlank="1" showInputMessage="1" showErrorMessage="1" sqref="B49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1" sqref="C1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44926</v>
      </c>
      <c r="D3" s="6"/>
      <c r="E3" s="179">
        <v>1</v>
      </c>
      <c r="F3" s="177">
        <f t="array" ref="F3">AVERAGE(C19:INDEX(C19:M19,1,E3))</f>
        <v>-544315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43796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6">
        <f>C3</f>
        <v>44926</v>
      </c>
      <c r="D6" s="277">
        <f>EOMONTH(EDATE(C6,-12),0)</f>
        <v>44561</v>
      </c>
      <c r="E6" s="277">
        <f t="shared" ref="E6:M6" si="0">EOMONTH(EDATE(D6,-12),0)</f>
        <v>44196</v>
      </c>
      <c r="F6" s="277">
        <f t="shared" si="0"/>
        <v>43830</v>
      </c>
      <c r="G6" s="277">
        <f t="shared" si="0"/>
        <v>43465</v>
      </c>
      <c r="H6" s="277">
        <f t="shared" si="0"/>
        <v>43100</v>
      </c>
      <c r="I6" s="277">
        <f t="shared" si="0"/>
        <v>42735</v>
      </c>
      <c r="J6" s="277">
        <f t="shared" si="0"/>
        <v>42369</v>
      </c>
      <c r="K6" s="277">
        <f t="shared" si="0"/>
        <v>42004</v>
      </c>
      <c r="L6" s="277">
        <f t="shared" si="0"/>
        <v>41639</v>
      </c>
      <c r="M6" s="277">
        <f t="shared" si="0"/>
        <v>41274</v>
      </c>
    </row>
    <row r="7" spans="1:14" ht="15.75" customHeight="1">
      <c r="A7" s="9"/>
      <c r="B7" s="43" t="s">
        <v>45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40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9"/>
      <c r="N8" s="6"/>
    </row>
    <row r="9" spans="1:14" ht="15.75" customHeight="1">
      <c r="A9" s="9"/>
      <c r="B9" s="44" t="s">
        <v>47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40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9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40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9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9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9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IF(C14="","",C14*(1-Operation!$D$17))</f>
        <v>43796</v>
      </c>
      <c r="D16" s="143">
        <f>IF(D14="","",D14*(1-Operation!$D$17))</f>
        <v>327451</v>
      </c>
      <c r="E16" s="143">
        <f>IF(E14="","",E14*(1-Operation!$D$17))</f>
        <v>1334832</v>
      </c>
      <c r="F16" s="143">
        <f>IF(F14="","",F14*(1-Operation!$D$17))</f>
        <v>340781</v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2" t="str">
        <f>IF(M14="","",M14*(1-Operation!$D$17))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7.4923487237038164E-2</v>
      </c>
      <c r="D17" s="129">
        <f t="shared" si="7"/>
        <v>0.25549194826352611</v>
      </c>
      <c r="E17" s="129">
        <f t="shared" si="7"/>
        <v>0.5211237857946811</v>
      </c>
      <c r="F17" s="129">
        <f t="shared" si="7"/>
        <v>0.21246784436610849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>
      <c r="A18" s="9"/>
      <c r="B18" s="44" t="s">
        <v>248</v>
      </c>
      <c r="C18" s="144">
        <v>5293</v>
      </c>
      <c r="D18" s="144">
        <v>3968</v>
      </c>
      <c r="E18" s="144">
        <v>3450</v>
      </c>
      <c r="F18" s="144">
        <v>5627</v>
      </c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>
      <c r="A19" s="9"/>
      <c r="B19" s="44" t="s">
        <v>56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40"/>
      <c r="N19" s="6"/>
    </row>
    <row r="20" spans="1:14" ht="15.75" customHeight="1">
      <c r="A20" s="9"/>
      <c r="B20" s="44" t="s">
        <v>263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9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40"/>
      <c r="N21" s="6"/>
    </row>
    <row r="22" spans="1:14" ht="15.75" customHeight="1">
      <c r="A22" s="9"/>
      <c r="B22" s="44" t="s">
        <v>58</v>
      </c>
      <c r="C22" s="176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40"/>
      <c r="N22" s="6"/>
    </row>
    <row r="23" spans="1:14" ht="15.5" customHeight="1">
      <c r="A23" s="9"/>
      <c r="B23" s="44" t="s">
        <v>59</v>
      </c>
      <c r="C23" s="176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40"/>
      <c r="N23" s="6"/>
    </row>
    <row r="24" spans="1:14" ht="15.75" customHeight="1">
      <c r="A24" s="9"/>
      <c r="B24" s="141" t="s">
        <v>60</v>
      </c>
      <c r="C24" s="270">
        <v>19522</v>
      </c>
      <c r="D24" s="140">
        <v>19771</v>
      </c>
      <c r="E24" s="140">
        <v>12457</v>
      </c>
      <c r="F24" s="140">
        <v>28056</v>
      </c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>
      <c r="A25" s="9"/>
      <c r="B25" s="44" t="s">
        <v>61</v>
      </c>
      <c r="C25" s="176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40"/>
      <c r="N25" s="6"/>
    </row>
    <row r="26" spans="1:14" ht="15.75" customHeight="1">
      <c r="A26" s="9"/>
      <c r="B26" s="141" t="s">
        <v>62</v>
      </c>
      <c r="C26" s="175">
        <v>9661</v>
      </c>
      <c r="D26" s="140">
        <v>25878</v>
      </c>
      <c r="E26" s="140">
        <v>775</v>
      </c>
      <c r="F26" s="140">
        <v>12335</v>
      </c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40"/>
      <c r="N28" s="6"/>
    </row>
    <row r="29" spans="1:14" ht="15.75" customHeight="1">
      <c r="A29" s="9"/>
      <c r="B29" s="141" t="s">
        <v>206</v>
      </c>
      <c r="C29" s="175">
        <v>4494199</v>
      </c>
      <c r="D29" s="140">
        <v>5264755</v>
      </c>
      <c r="E29" s="140">
        <v>5418042</v>
      </c>
      <c r="F29" s="140">
        <v>4389444</v>
      </c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>
      <c r="A30" s="9"/>
      <c r="B30" s="44" t="s">
        <v>65</v>
      </c>
      <c r="C30" s="176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40"/>
      <c r="N30" s="6"/>
    </row>
    <row r="31" spans="1:14" ht="15.75" customHeight="1">
      <c r="A31" s="9"/>
      <c r="B31" s="44" t="s">
        <v>227</v>
      </c>
      <c r="C31" s="176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40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9" t="str">
        <f t="shared" si="10"/>
        <v/>
      </c>
      <c r="N32" s="6"/>
    </row>
    <row r="33" spans="1:14" ht="15.75" customHeight="1">
      <c r="A33" s="9"/>
      <c r="B33" s="44" t="s">
        <v>67</v>
      </c>
      <c r="C33" s="247">
        <f>IF(D7="","",(C7-D7)*Asset_Model!$D$65)</f>
        <v>-9759.4840000000004</v>
      </c>
      <c r="D33" s="247">
        <f>IF(E7="","",(D7-E7)*Asset_Model!$D$65)</f>
        <v>-17917.2</v>
      </c>
      <c r="E33" s="247">
        <f>IF(F7="","",(E7-F7)*Asset_Model!$D$65)</f>
        <v>13405.434000000001</v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-50809.483999999997</v>
      </c>
      <c r="D34" s="143">
        <f>IF(E7="","",D30-E30+D33+IF($C$49="Yes",D51,0))</f>
        <v>11925.8</v>
      </c>
      <c r="E34" s="143">
        <f t="shared" ref="E34:F34" si="11">IF(F7="","",E30-F30+E33+IF($C$49="Yes",E51,0))</f>
        <v>-13530.565999999999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39" t="str">
        <f t="shared" ref="M34" si="18">IF(N7="","",M30-N30+M33+IF($C$49="Yes",M51,0))</f>
        <v/>
      </c>
      <c r="N34" s="6"/>
    </row>
    <row r="35" spans="1:14" ht="15.75" customHeight="1">
      <c r="A35" s="9"/>
      <c r="B35" s="246" t="s">
        <v>68</v>
      </c>
      <c r="C35" s="238">
        <f t="shared" ref="C35:M35" si="19">IF(C34="","",C34/C16)</f>
        <v>-1.1601398301214723</v>
      </c>
      <c r="D35" s="238">
        <f t="shared" si="19"/>
        <v>3.6420105603586488E-2</v>
      </c>
      <c r="E35" s="238">
        <f t="shared" si="19"/>
        <v>-1.0136531039112037E-2</v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249</v>
      </c>
      <c r="C37" s="165">
        <v>147631</v>
      </c>
      <c r="D37" s="165">
        <v>630728</v>
      </c>
      <c r="E37" s="165">
        <v>408118</v>
      </c>
      <c r="F37" s="165">
        <v>111349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58246</v>
      </c>
      <c r="D38" s="164">
        <v>22027</v>
      </c>
      <c r="E38" s="164">
        <v>0</v>
      </c>
      <c r="F38" s="164">
        <v>3002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202</v>
      </c>
      <c r="C39" s="170">
        <f t="shared" ref="C39:M39" si="20">IF(C37="","",C37*$C$4/Common_Shares)</f>
        <v>8.0817972588376058E-2</v>
      </c>
      <c r="D39" s="170">
        <f t="shared" si="20"/>
        <v>0.34528085710129486</v>
      </c>
      <c r="E39" s="170">
        <f t="shared" si="20"/>
        <v>0.22341696077939499</v>
      </c>
      <c r="F39" s="170">
        <f t="shared" si="20"/>
        <v>6.0956035180572417E-2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203</v>
      </c>
      <c r="C40" s="172">
        <f t="shared" ref="C40:M40" si="21">IF(C38="","",C38*$C$4/Common_Shares)</f>
        <v>3.1885739657541788E-2</v>
      </c>
      <c r="D40" s="172">
        <f t="shared" si="21"/>
        <v>1.2058290482379443E-2</v>
      </c>
      <c r="E40" s="172">
        <f t="shared" si="21"/>
        <v>0</v>
      </c>
      <c r="F40" s="172">
        <f t="shared" si="21"/>
        <v>1.6433916569711304E-3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8" t="str">
        <f t="shared" si="22"/>
        <v/>
      </c>
      <c r="N42" s="6"/>
    </row>
    <row r="43" spans="1:14" ht="15.75" customHeight="1">
      <c r="A43" s="9"/>
      <c r="B43" s="44" t="s">
        <v>244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9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0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9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1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38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5"/>
      <c r="D50" s="6"/>
      <c r="E50" s="335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6" t="s">
        <v>287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37" t="s">
        <v>288</v>
      </c>
      <c r="C52" s="344" t="str">
        <f>IF(C51="","",C51/C7)</f>
        <v/>
      </c>
      <c r="D52" s="344" t="str">
        <f t="shared" ref="D52:M52" si="27">IF(D51="","",D51/D7)</f>
        <v/>
      </c>
      <c r="E52" s="344" t="str">
        <f t="shared" si="27"/>
        <v/>
      </c>
      <c r="F52" s="344" t="str">
        <f t="shared" si="27"/>
        <v/>
      </c>
      <c r="G52" s="344" t="str">
        <f t="shared" si="27"/>
        <v/>
      </c>
      <c r="H52" s="344" t="str">
        <f>IF(H51="","",H51/H7)</f>
        <v/>
      </c>
      <c r="I52" s="344" t="str">
        <f t="shared" si="27"/>
        <v/>
      </c>
      <c r="J52" s="344" t="str">
        <f t="shared" si="27"/>
        <v/>
      </c>
      <c r="K52" s="344" t="str">
        <f t="shared" si="27"/>
        <v/>
      </c>
      <c r="L52" s="344" t="str">
        <f t="shared" si="27"/>
        <v/>
      </c>
      <c r="M52" s="345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6" sqref="D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5" t="s">
        <v>81</v>
      </c>
      <c r="C2" s="265"/>
      <c r="D2" s="11"/>
      <c r="E2" s="12"/>
      <c r="F2" s="12"/>
      <c r="G2" s="12"/>
      <c r="H2" s="12"/>
      <c r="I2" s="12"/>
      <c r="K2" s="343" t="s">
        <v>136</v>
      </c>
    </row>
    <row r="3" spans="1:11" ht="15" customHeight="1">
      <c r="B3" s="5" t="s">
        <v>250</v>
      </c>
      <c r="C3" s="6"/>
      <c r="D3" s="271">
        <v>4494199</v>
      </c>
      <c r="E3" s="156" t="str">
        <f>IF((C46-I46)=D3,"", "Error!")</f>
        <v/>
      </c>
      <c r="F3" s="6"/>
      <c r="G3" s="6"/>
      <c r="H3" s="272" t="s">
        <v>251</v>
      </c>
      <c r="I3" s="273">
        <v>4494199</v>
      </c>
      <c r="K3" s="74"/>
    </row>
    <row r="4" spans="1:11" ht="15" customHeight="1">
      <c r="B4" s="5" t="s">
        <v>221</v>
      </c>
      <c r="C4" s="6"/>
      <c r="D4" s="274">
        <f>D3-I3</f>
        <v>0</v>
      </c>
      <c r="E4" s="150"/>
      <c r="F4" s="6"/>
      <c r="G4" s="6"/>
      <c r="H4" s="60" t="s">
        <v>82</v>
      </c>
      <c r="I4" s="91">
        <f>(I3*Dashboard!I12*Data!C4)/Dashboard!I5</f>
        <v>2.4602695340999325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303</v>
      </c>
      <c r="I6" s="69">
        <f>C26/I26</f>
        <v>8.6617479363458436</v>
      </c>
      <c r="J6" s="6"/>
      <c r="K6" s="74"/>
    </row>
    <row r="7" spans="1:11" ht="15" customHeight="1" thickBot="1">
      <c r="B7" s="53" t="s">
        <v>85</v>
      </c>
      <c r="D7" s="61">
        <f>MAX((D6*Exchange_Rate*Data!C4)/Dashboard!I5, 0)</f>
        <v>1.9896318891153442</v>
      </c>
      <c r="E7" s="49" t="str">
        <f>Dashboard!J4</f>
        <v>HKD</v>
      </c>
      <c r="H7" s="3" t="s">
        <v>304</v>
      </c>
      <c r="I7" s="69">
        <f>C25/I26</f>
        <v>8.2361118202706152</v>
      </c>
      <c r="J7" s="6"/>
      <c r="K7" s="116"/>
    </row>
    <row r="8" spans="1:11" ht="15" customHeight="1">
      <c r="D8" s="6"/>
      <c r="H8" s="3" t="s">
        <v>305</v>
      </c>
      <c r="I8" s="69">
        <f>C24/I26</f>
        <v>7.0907199387286193</v>
      </c>
      <c r="K8" s="74"/>
    </row>
    <row r="9" spans="1:11" ht="15" customHeight="1">
      <c r="A9" s="4"/>
      <c r="B9" s="266" t="s">
        <v>246</v>
      </c>
      <c r="C9" s="253"/>
      <c r="D9" s="269">
        <v>44926</v>
      </c>
      <c r="E9" s="287" t="s">
        <v>325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233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92</v>
      </c>
      <c r="I11" s="64">
        <v>0</v>
      </c>
      <c r="J11" s="6"/>
      <c r="K11" s="74"/>
    </row>
    <row r="12" spans="1:11" ht="1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6202</v>
      </c>
      <c r="J12" s="6"/>
      <c r="K12" s="74"/>
    </row>
    <row r="13" spans="1:11" ht="14">
      <c r="B13" s="5" t="s">
        <v>95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100</v>
      </c>
      <c r="I15" s="155">
        <f>I26-SUM(I11:I14)</f>
        <v>228818</v>
      </c>
      <c r="J15" s="6"/>
    </row>
    <row r="16" spans="1:11" ht="1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234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234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234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306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108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310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109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58</v>
      </c>
      <c r="I26" s="64">
        <v>235020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233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>
      <c r="B29" s="5" t="s">
        <v>112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113</v>
      </c>
      <c r="I29" s="64">
        <v>10412</v>
      </c>
      <c r="J29" s="6"/>
    </row>
    <row r="30" spans="2:10" ht="15" customHeight="1">
      <c r="B30" s="5" t="s">
        <v>114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234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v>0</v>
      </c>
      <c r="D32" s="65">
        <v>0.8</v>
      </c>
      <c r="E32" s="27">
        <f t="shared" si="3"/>
        <v>0</v>
      </c>
      <c r="G32" s="6"/>
      <c r="H32" s="5" t="s">
        <v>118</v>
      </c>
      <c r="I32" s="155">
        <f>I42-SUM(I28:I31)</f>
        <v>8226</v>
      </c>
      <c r="J32" s="6"/>
    </row>
    <row r="33" spans="2:10" ht="14">
      <c r="B33" s="5" t="s">
        <v>119</v>
      </c>
      <c r="C33" s="64">
        <v>545758</v>
      </c>
      <c r="D33" s="65">
        <v>0.7</v>
      </c>
      <c r="E33" s="219">
        <f t="shared" si="3"/>
        <v>382030.6</v>
      </c>
      <c r="F33" s="204" t="s">
        <v>235</v>
      </c>
      <c r="G33" s="94">
        <f>IF(F33="Y",0,1)</f>
        <v>1</v>
      </c>
      <c r="J33" s="6"/>
    </row>
    <row r="34" spans="2:10" ht="14">
      <c r="B34" s="5" t="s">
        <v>120</v>
      </c>
      <c r="C34" s="64">
        <v>197608</v>
      </c>
      <c r="D34" s="65">
        <v>0.85</v>
      </c>
      <c r="E34" s="219">
        <f t="shared" si="3"/>
        <v>167966.8</v>
      </c>
      <c r="F34" s="204" t="s">
        <v>234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234</v>
      </c>
      <c r="G35" s="94">
        <f>IF(F35="Y",0,1)</f>
        <v>0</v>
      </c>
    </row>
    <row r="36" spans="2:10" ht="15" customHeight="1">
      <c r="B36" s="5" t="s">
        <v>292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293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122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123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125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307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127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311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128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308</v>
      </c>
      <c r="I46" s="155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129</v>
      </c>
      <c r="C48" s="21"/>
      <c r="D48" s="52"/>
    </row>
    <row r="49" spans="2:9" ht="14">
      <c r="B49" s="215" t="s">
        <v>205</v>
      </c>
      <c r="C49" s="6"/>
      <c r="D49" s="216" t="str">
        <f>IF(E50=D4,"BV of the MI","P/B Approach")</f>
        <v>BV of the MI</v>
      </c>
      <c r="E49" s="6"/>
    </row>
    <row r="50" spans="2:9" ht="14">
      <c r="B50" s="5" t="s">
        <v>204</v>
      </c>
      <c r="C50" s="217">
        <f>D4</f>
        <v>0</v>
      </c>
      <c r="D50" s="213">
        <f>IF(E50=0, 0,E50/C50)</f>
        <v>0</v>
      </c>
      <c r="E50" s="217">
        <f>MAX(C50,C50*Dashboard!I10)</f>
        <v>0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257</v>
      </c>
      <c r="C52" s="5"/>
      <c r="D52" s="446">
        <f>D53+D54+D55</f>
        <v>16614</v>
      </c>
      <c r="E52" s="447"/>
      <c r="F52" s="53"/>
      <c r="G52" s="53"/>
    </row>
    <row r="53" spans="2:9" ht="14.5" thickTop="1">
      <c r="B53" s="58" t="s">
        <v>228</v>
      </c>
      <c r="C53" s="6"/>
      <c r="D53" s="449">
        <f>SUM(I11:I13)+SUM(I28:I30)</f>
        <v>16614</v>
      </c>
      <c r="E53" s="382"/>
      <c r="F53" s="5"/>
      <c r="G53" s="5"/>
      <c r="H53" s="3" t="s">
        <v>309</v>
      </c>
      <c r="I53" s="14">
        <f>D53/I3</f>
        <v>3.6967655415347652E-3</v>
      </c>
    </row>
    <row r="54" spans="2:9" ht="14">
      <c r="B54" s="58" t="s">
        <v>131</v>
      </c>
      <c r="C54" s="6"/>
      <c r="D54" s="456">
        <v>0</v>
      </c>
      <c r="E54" s="375"/>
      <c r="F54" s="6" t="s">
        <v>132</v>
      </c>
      <c r="G54" s="6"/>
    </row>
    <row r="55" spans="2:9" ht="12.75" customHeight="1">
      <c r="B55" s="58" t="s">
        <v>130</v>
      </c>
      <c r="C55" s="6"/>
      <c r="D55" s="456">
        <v>0</v>
      </c>
      <c r="E55" s="375"/>
      <c r="F55" s="5" t="s">
        <v>133</v>
      </c>
      <c r="G55" s="5"/>
    </row>
    <row r="56" spans="2:9" ht="15" customHeight="1">
      <c r="D56" s="6"/>
      <c r="E56" s="6"/>
    </row>
    <row r="57" spans="2:9" ht="14">
      <c r="B57" s="75" t="s">
        <v>134</v>
      </c>
      <c r="C57" s="5"/>
      <c r="D57" s="448"/>
      <c r="E57" s="448"/>
      <c r="F57" s="19"/>
      <c r="G57" s="19"/>
    </row>
    <row r="58" spans="2:9" ht="15" customHeight="1">
      <c r="B58" s="53" t="s">
        <v>229</v>
      </c>
      <c r="C58" s="212">
        <f>C14+C15+(C19*G19)+(C20*G20)+C29+C30+(C31*G31)+(C33*G33)+(C34*G34)+(C35*G35)</f>
        <v>2468318</v>
      </c>
      <c r="D58" s="129">
        <f>IF(E58=0,0,E58/C58)</f>
        <v>0.74257820507730365</v>
      </c>
      <c r="E58" s="220">
        <f>E14+E15+(E19*G19)+(E20*G20)+E29+E30+(E31*G31)+(E33*G33)+(E34*G34)+(E35*G35)</f>
        <v>1832919.15</v>
      </c>
      <c r="H58" s="6"/>
    </row>
    <row r="59" spans="2:9" ht="14">
      <c r="B59" s="53" t="s">
        <v>91</v>
      </c>
      <c r="C59" s="212">
        <f>C11+C12+C28</f>
        <v>1666461</v>
      </c>
      <c r="D59" s="213">
        <f>IF(E59=0,0,E59/C59)</f>
        <v>1</v>
      </c>
      <c r="E59" s="214">
        <f>E11+E12+E28</f>
        <v>1666461</v>
      </c>
      <c r="F59" s="6"/>
      <c r="G59" s="6"/>
    </row>
    <row r="60" spans="2:9" ht="14">
      <c r="B60" s="53" t="s">
        <v>135</v>
      </c>
      <c r="C60" s="6"/>
      <c r="D60" s="454">
        <f>((Dashboard!I6*Data!C4)+D52+E50-C58-C59)</f>
        <v>466877.14015999995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88" t="s">
        <v>256</v>
      </c>
    </row>
    <row r="63" spans="2:9" ht="15" customHeight="1">
      <c r="B63" s="3" t="s">
        <v>259</v>
      </c>
      <c r="D63" s="452">
        <f>((C26-C11-C12-C14-C15-C16*G16-C19*G19-C20*G20)-I26)/Data!C7</f>
        <v>-7.7270619954391717E-2</v>
      </c>
      <c r="E63" s="453"/>
    </row>
    <row r="64" spans="2:9" ht="15" customHeight="1">
      <c r="B64" s="3" t="s">
        <v>258</v>
      </c>
      <c r="D64" s="450">
        <v>1.4E-2</v>
      </c>
      <c r="E64" s="451"/>
      <c r="F64" s="264" t="s">
        <v>243</v>
      </c>
    </row>
    <row r="65" spans="2:5" ht="15" customHeight="1">
      <c r="B65" s="288" t="s">
        <v>260</v>
      </c>
      <c r="D65" s="450">
        <f>D64</f>
        <v>1.4E-2</v>
      </c>
      <c r="E65" s="45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topLeftCell="A4" zoomScaleNormal="100" zoomScalePageLayoutView="80" workbookViewId="0">
      <selection activeCell="E13" sqref="E1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240</v>
      </c>
      <c r="C2" s="282" t="s">
        <v>254</v>
      </c>
      <c r="D2" s="282"/>
      <c r="E2" s="282">
        <v>1</v>
      </c>
      <c r="F2" s="282"/>
      <c r="G2" s="282">
        <v>2</v>
      </c>
      <c r="H2" s="12"/>
      <c r="I2" s="282">
        <v>3</v>
      </c>
      <c r="J2" s="282"/>
      <c r="K2" s="12"/>
      <c r="L2" s="12"/>
    </row>
    <row r="3" spans="1:13" ht="15.75" customHeight="1">
      <c r="B3" s="29" t="str">
        <f>'FCFF Model'!B3</f>
        <v>(Numbers in 1000HKD)</v>
      </c>
      <c r="C3" s="275">
        <f>Dashboard!E6</f>
        <v>44926</v>
      </c>
      <c r="D3" s="28" t="s">
        <v>242</v>
      </c>
      <c r="E3" s="275">
        <f>EOMONTH(EDATE(C3,12),0)</f>
        <v>45291</v>
      </c>
      <c r="F3" s="28" t="s">
        <v>242</v>
      </c>
      <c r="G3" s="275" t="str">
        <f>IF(G8="","",EOMONTH(EDATE(E3,12),0))</f>
        <v/>
      </c>
      <c r="H3" s="28"/>
      <c r="I3" s="275" t="str">
        <f>IF(I15="","",EOMONTH(EDATE(G3,12),0))</f>
        <v/>
      </c>
      <c r="J3" s="293"/>
      <c r="L3" s="72" t="s">
        <v>136</v>
      </c>
    </row>
    <row r="4" spans="1:13" ht="15.75" customHeight="1">
      <c r="B4" s="289" t="s">
        <v>344</v>
      </c>
      <c r="C4" s="290">
        <v>904</v>
      </c>
      <c r="D4" s="258">
        <f>C4/$C$7</f>
        <v>1.5465072714924309E-3</v>
      </c>
      <c r="E4" s="290">
        <v>0</v>
      </c>
      <c r="F4" s="258">
        <f>E4/E$7</f>
        <v>0</v>
      </c>
      <c r="G4" s="221"/>
      <c r="H4" s="258"/>
      <c r="I4" s="221"/>
      <c r="J4" s="283"/>
      <c r="K4" s="6"/>
      <c r="L4" s="74"/>
      <c r="M4" s="57"/>
    </row>
    <row r="5" spans="1:13" ht="15.75" customHeight="1">
      <c r="B5" s="289" t="s">
        <v>345</v>
      </c>
      <c r="C5" s="290">
        <v>549346</v>
      </c>
      <c r="D5" s="258">
        <f>C5/$C$7</f>
        <v>0.93978714996159396</v>
      </c>
      <c r="E5" s="290">
        <v>384542.19999999995</v>
      </c>
      <c r="F5" s="258">
        <f>E5/E$7</f>
        <v>0.94124278877868006</v>
      </c>
      <c r="G5" s="221"/>
      <c r="H5" s="258"/>
      <c r="I5" s="221"/>
      <c r="J5" s="283"/>
      <c r="K5" s="6"/>
      <c r="L5" s="74"/>
      <c r="M5" s="57"/>
    </row>
    <row r="6" spans="1:13" ht="15.75" customHeight="1">
      <c r="B6" s="289" t="s">
        <v>346</v>
      </c>
      <c r="C6" s="290">
        <v>34293</v>
      </c>
      <c r="D6" s="258">
        <f>C6/$C$7</f>
        <v>5.866634276691364E-2</v>
      </c>
      <c r="E6" s="290">
        <v>24005.1</v>
      </c>
      <c r="F6" s="258">
        <f>E6/E$7</f>
        <v>5.8757211221320035E-2</v>
      </c>
      <c r="G6" s="221"/>
      <c r="H6" s="258"/>
      <c r="I6" s="221"/>
      <c r="J6" s="283"/>
      <c r="K6" s="6"/>
      <c r="L6" s="74"/>
      <c r="M6" s="57"/>
    </row>
    <row r="7" spans="1:13" ht="15.75" customHeight="1">
      <c r="B7" s="5" t="s">
        <v>138</v>
      </c>
      <c r="C7" s="180">
        <f>SUM(C4:C6)</f>
        <v>584543</v>
      </c>
      <c r="D7" s="257"/>
      <c r="E7" s="334">
        <f>SUM(E4:E6)</f>
        <v>408547.29999999993</v>
      </c>
      <c r="F7" s="257"/>
      <c r="G7" s="334"/>
      <c r="H7" s="257"/>
      <c r="I7" s="227"/>
      <c r="J7" s="284"/>
      <c r="K7" s="6"/>
      <c r="L7" s="74" t="s">
        <v>261</v>
      </c>
      <c r="M7" s="57"/>
    </row>
    <row r="8" spans="1:13" ht="15.75" customHeight="1">
      <c r="B8" s="17" t="s">
        <v>137</v>
      </c>
      <c r="C8" s="187"/>
      <c r="D8" s="259"/>
      <c r="E8" s="18">
        <f>E7/C7-1</f>
        <v>-0.30108255509004478</v>
      </c>
      <c r="F8" s="259"/>
      <c r="G8" s="73"/>
      <c r="H8" s="259"/>
      <c r="I8" s="73"/>
      <c r="J8" s="324"/>
      <c r="K8" s="6"/>
      <c r="L8" s="74"/>
      <c r="M8" s="57"/>
    </row>
    <row r="9" spans="1:13" ht="15.75" customHeight="1">
      <c r="B9" s="8" t="s">
        <v>139</v>
      </c>
      <c r="C9" s="181">
        <f>Data!C9</f>
        <v>500512</v>
      </c>
      <c r="D9" s="260"/>
      <c r="E9" s="226">
        <f>E7*(1-E10)</f>
        <v>349816.56818677147</v>
      </c>
      <c r="F9" s="260"/>
      <c r="G9" s="278" t="str">
        <f>IF(G7="","",G7*(1-G10))</f>
        <v/>
      </c>
      <c r="H9" s="260"/>
      <c r="I9" s="278" t="str">
        <f>IF(I7="","",I7*(1-I10))</f>
        <v/>
      </c>
      <c r="J9" s="325"/>
      <c r="K9" s="6"/>
      <c r="L9" s="116"/>
      <c r="M9" s="1"/>
    </row>
    <row r="10" spans="1:13" ht="15.75" customHeight="1">
      <c r="B10" s="17" t="s">
        <v>48</v>
      </c>
      <c r="C10" s="186">
        <f>(C7-C9)/C7</f>
        <v>0.14375503598537662</v>
      </c>
      <c r="D10" s="186"/>
      <c r="E10" s="73">
        <f>C10</f>
        <v>0.14375503598537662</v>
      </c>
      <c r="F10" s="186"/>
      <c r="G10" s="73"/>
      <c r="H10" s="186"/>
      <c r="I10" s="73"/>
      <c r="J10" s="326"/>
      <c r="K10" s="6"/>
      <c r="L10" s="74"/>
    </row>
    <row r="11" spans="1:13" ht="15.75" customHeight="1">
      <c r="B11" s="5" t="s">
        <v>140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41"/>
      <c r="K11" s="6"/>
      <c r="L11" s="74"/>
    </row>
    <row r="12" spans="1:13" ht="15.75" customHeight="1">
      <c r="B12" s="17" t="s">
        <v>50</v>
      </c>
      <c r="C12" s="189">
        <f>C13/C7</f>
        <v>6.8831548748338439E-2</v>
      </c>
      <c r="D12" s="189"/>
      <c r="E12" s="225">
        <f>E13/E7</f>
        <v>9.8483088739051775E-2</v>
      </c>
      <c r="F12" s="189"/>
      <c r="G12" s="65"/>
      <c r="H12" s="189"/>
      <c r="I12" s="65"/>
      <c r="J12" s="327"/>
      <c r="K12" s="6"/>
      <c r="L12" s="74"/>
    </row>
    <row r="13" spans="1:13" ht="15.75" customHeight="1">
      <c r="B13" s="8" t="s">
        <v>141</v>
      </c>
      <c r="C13" s="183">
        <f>Data!C11</f>
        <v>40235</v>
      </c>
      <c r="D13" s="261"/>
      <c r="E13" s="76">
        <f>C13</f>
        <v>40235</v>
      </c>
      <c r="F13" s="261"/>
      <c r="G13" s="76"/>
      <c r="H13" s="261"/>
      <c r="I13" s="76"/>
      <c r="J13" s="328"/>
      <c r="K13" s="6"/>
      <c r="L13" s="74"/>
    </row>
    <row r="14" spans="1:13" ht="15.75" customHeight="1">
      <c r="B14" s="17" t="s">
        <v>51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30"/>
      <c r="K14" s="6"/>
      <c r="L14" s="74"/>
      <c r="M14" s="57"/>
    </row>
    <row r="15" spans="1:13" ht="15.75" customHeight="1">
      <c r="B15" s="17" t="s">
        <v>142</v>
      </c>
      <c r="C15" s="188"/>
      <c r="D15" s="262"/>
      <c r="E15" s="14">
        <f>IF(ABS(C16+E16)=ABS(C16)+ABS(E16),IF(E16&lt;0,-1,1)*(E16-C16)/C16,"Turn")</f>
        <v>-0.57768445033271398</v>
      </c>
      <c r="F15" s="262"/>
      <c r="G15" s="14" t="str">
        <f>IF(G8="","",IF(ABS(E16+G16)=ABS(E16)+ABS(G16),IF(G16&lt;0,-1,1)*(G16-E16)/E16,"Turn"))</f>
        <v/>
      </c>
      <c r="H15" s="262"/>
      <c r="I15" s="14" t="str">
        <f>IF(I8="","",IF(ABS(G16+I16)=ABS(G16)+ABS(I16),IF(I16&lt;0,-1,1)*(I16-G16)/G16,"Turn"))</f>
        <v/>
      </c>
      <c r="J15" s="329"/>
      <c r="K15" s="6"/>
      <c r="L15" s="77"/>
      <c r="M15" s="78"/>
    </row>
    <row r="16" spans="1:13" ht="15.75" customHeight="1">
      <c r="B16" s="134" t="s">
        <v>238</v>
      </c>
      <c r="C16" s="316">
        <f>C11-C13</f>
        <v>43796</v>
      </c>
      <c r="D16" s="317"/>
      <c r="E16" s="316">
        <f>E11-E13</f>
        <v>18495.731813228456</v>
      </c>
      <c r="F16" s="317"/>
      <c r="G16" s="316" t="str">
        <f>IF(G8="","",G11-G13)</f>
        <v/>
      </c>
      <c r="H16" s="317"/>
      <c r="I16" s="316" t="str">
        <f>IF(I8="","",I11-I13)</f>
        <v/>
      </c>
      <c r="J16" s="330"/>
      <c r="K16" s="6"/>
      <c r="L16" s="79"/>
      <c r="M16" s="56"/>
    </row>
    <row r="17" spans="2:10" ht="15.75" customHeight="1">
      <c r="B17" s="312" t="s">
        <v>143</v>
      </c>
      <c r="C17" s="313">
        <v>0.25</v>
      </c>
      <c r="D17" s="314"/>
      <c r="E17" s="315">
        <f>IF(E16="","",C17)</f>
        <v>0.25</v>
      </c>
      <c r="F17" s="315"/>
      <c r="G17" s="315" t="str">
        <f>IF(G16="","",E17)</f>
        <v/>
      </c>
      <c r="H17" s="315"/>
      <c r="I17" s="315" t="str">
        <f>IF(I16="","",G17)</f>
        <v/>
      </c>
      <c r="J17" s="331"/>
    </row>
    <row r="18" spans="2:10" ht="15.75" customHeight="1">
      <c r="B18" s="321" t="s">
        <v>295</v>
      </c>
      <c r="C18" s="262">
        <f>C19/C9</f>
        <v>6.5626798158685509E-2</v>
      </c>
      <c r="D18" s="323"/>
      <c r="E18" s="322">
        <f>E19/E9</f>
        <v>3.9654493587379241E-2</v>
      </c>
      <c r="F18" s="322"/>
      <c r="G18" s="322" t="str">
        <f>IF(G9="","",G19/G9)</f>
        <v/>
      </c>
      <c r="H18" s="322"/>
      <c r="I18" s="322" t="str">
        <f>IF(I9="","",I19/I9)</f>
        <v/>
      </c>
      <c r="J18" s="332"/>
    </row>
    <row r="19" spans="2:10" ht="15.75" customHeight="1">
      <c r="B19" s="318" t="s">
        <v>80</v>
      </c>
      <c r="C19" s="319">
        <f>IF(C16&lt;=0,C16,C16*(1-C17))</f>
        <v>32847</v>
      </c>
      <c r="D19" s="319"/>
      <c r="E19" s="320">
        <f>IF(E16="","",IF(E16&lt;=0,E16,E16*(1-E17)))</f>
        <v>13871.798859921342</v>
      </c>
      <c r="F19" s="319"/>
      <c r="G19" s="320" t="str">
        <f>IF(G16="","",IF(G16&lt;=0,G16,G16*(1-G17)))</f>
        <v/>
      </c>
      <c r="H19" s="319"/>
      <c r="I19" s="320" t="str">
        <f>IF(I16="","",IF(I16&lt;=0,I16,I16*(1-I17)))</f>
        <v/>
      </c>
      <c r="J19" s="333"/>
    </row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2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I11" sqref="I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220</v>
      </c>
      <c r="C2" s="282" t="s">
        <v>254</v>
      </c>
      <c r="D2" s="282">
        <v>1</v>
      </c>
      <c r="E2" s="282">
        <v>2</v>
      </c>
      <c r="F2" s="282">
        <v>3</v>
      </c>
      <c r="G2" s="282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75">
        <f>Operation!C3</f>
        <v>44926</v>
      </c>
      <c r="D3" s="275">
        <f>Operation!E3</f>
        <v>45291</v>
      </c>
      <c r="E3" s="275" t="str">
        <f>Operation!G3</f>
        <v/>
      </c>
      <c r="F3" s="275" t="str">
        <f>Operation!I3</f>
        <v/>
      </c>
      <c r="G3" s="28" t="s">
        <v>252</v>
      </c>
      <c r="I3" s="72" t="s">
        <v>136</v>
      </c>
    </row>
    <row r="4" spans="1:10" ht="15.75" customHeight="1">
      <c r="B4" s="5" t="s">
        <v>80</v>
      </c>
      <c r="C4" s="182">
        <f>Operation!C19</f>
        <v>32847</v>
      </c>
      <c r="D4" s="45">
        <f>Operation!E19</f>
        <v>13871.798859921342</v>
      </c>
      <c r="E4" s="45" t="str">
        <f>Operation!G19</f>
        <v/>
      </c>
      <c r="F4" s="201" t="str">
        <f>Operation!I19</f>
        <v/>
      </c>
      <c r="G4" s="300">
        <f>IF(F3="",IF(E3="",1,2),3)</f>
        <v>1</v>
      </c>
      <c r="H4" s="6"/>
      <c r="I4" s="79"/>
      <c r="J4" s="56"/>
    </row>
    <row r="5" spans="1:10" ht="15.75" customHeight="1">
      <c r="B5" s="17" t="s">
        <v>267</v>
      </c>
      <c r="C5" s="255"/>
      <c r="D5" s="256">
        <f>D4/C4-1</f>
        <v>-0.57768445033271409</v>
      </c>
      <c r="E5" s="256" t="str">
        <f>IF(E4="","",E4/D4-1)</f>
        <v/>
      </c>
      <c r="F5" s="256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0.38619999999999999</v>
      </c>
      <c r="D6" s="225">
        <v>0.38619999999999999</v>
      </c>
      <c r="E6" s="65"/>
      <c r="F6" s="305"/>
      <c r="G6" s="199"/>
      <c r="H6" s="6"/>
      <c r="I6" s="77"/>
    </row>
    <row r="7" spans="1:10" ht="15" customHeight="1" thickBot="1">
      <c r="B7" s="81" t="s">
        <v>262</v>
      </c>
      <c r="C7" s="306">
        <f>C4*C6</f>
        <v>12685.511399999999</v>
      </c>
      <c r="D7" s="306">
        <f>D4*D6</f>
        <v>5357.2887197016225</v>
      </c>
      <c r="E7" s="307"/>
      <c r="F7" s="307"/>
      <c r="G7" s="200"/>
      <c r="H7" s="82"/>
      <c r="I7" s="56"/>
      <c r="J7" s="56"/>
    </row>
    <row r="8" spans="1:10" ht="15.75" customHeight="1" thickTop="1">
      <c r="B8" s="17" t="s">
        <v>144</v>
      </c>
      <c r="C8" s="192">
        <f>IF(C4="","",C4-C7)</f>
        <v>20161.488600000001</v>
      </c>
      <c r="D8" s="191">
        <f>D4-D7</f>
        <v>8514.5101402197197</v>
      </c>
      <c r="E8" s="191" t="str">
        <f>IF(E4="","",E4-E7)</f>
        <v/>
      </c>
      <c r="F8" s="191" t="str">
        <f>IF(F4="","",F4-F7)</f>
        <v/>
      </c>
      <c r="G8" s="228">
        <f>IF(F4="",IF(E4="",D8,E8),F8)</f>
        <v>8514.5101402197197</v>
      </c>
      <c r="H8" s="82"/>
      <c r="I8" s="56"/>
      <c r="J8" s="56"/>
    </row>
    <row r="9" spans="1:10" ht="15.75" customHeight="1">
      <c r="B9" s="203" t="s">
        <v>213</v>
      </c>
      <c r="C9" s="193">
        <f>C8/(Common_Shares/Data!$C$4)</f>
        <v>1.1037049352884262E-2</v>
      </c>
      <c r="D9" s="302">
        <f>D8/(Common_Shares/Data!$C$4)</f>
        <v>4.66111756416828E-3</v>
      </c>
      <c r="E9" s="302" t="str">
        <f>IF(E8="","",E8/(Common_Shares/Data!$C$4))</f>
        <v/>
      </c>
      <c r="F9" s="302" t="str">
        <f>IF(F8="","",F8/(Common_Shares/Data!$C$4))</f>
        <v/>
      </c>
      <c r="G9" s="303">
        <f>G8*Data!C$4/Dashboard!I5</f>
        <v>4.66111756416828E-3</v>
      </c>
      <c r="H9" s="82"/>
      <c r="I9" s="56"/>
      <c r="J9" s="56"/>
    </row>
    <row r="10" spans="1:10" ht="15.75" customHeight="1">
      <c r="B10" s="233" t="s">
        <v>239</v>
      </c>
      <c r="C10" s="308">
        <f>C11/C9</f>
        <v>0</v>
      </c>
      <c r="D10" s="308">
        <f>D11/D9</f>
        <v>47.198981139463349</v>
      </c>
      <c r="E10" s="340"/>
      <c r="F10" s="340"/>
      <c r="G10" s="234"/>
      <c r="H10" s="82"/>
      <c r="I10" s="56"/>
      <c r="J10" s="56"/>
    </row>
    <row r="11" spans="1:10" ht="15.75" customHeight="1">
      <c r="B11" s="233" t="s">
        <v>253</v>
      </c>
      <c r="C11" s="280">
        <v>0</v>
      </c>
      <c r="D11" s="281">
        <v>0.22</v>
      </c>
      <c r="E11" s="341"/>
      <c r="F11" s="341"/>
      <c r="G11" s="279"/>
      <c r="H11" s="82"/>
      <c r="I11" s="56"/>
      <c r="J11" s="56"/>
    </row>
    <row r="12" spans="1:10" ht="15.75" customHeight="1">
      <c r="B12" s="19" t="s">
        <v>268</v>
      </c>
      <c r="C12" s="235">
        <v>0</v>
      </c>
      <c r="D12" s="235">
        <v>0.22</v>
      </c>
      <c r="E12" s="342"/>
      <c r="F12" s="342"/>
      <c r="G12" s="229">
        <f>IF(G9&lt;0,G9,G9*D27)</f>
        <v>3.728894051334624E-2</v>
      </c>
      <c r="H12" s="82"/>
      <c r="I12" s="56"/>
      <c r="J12" s="56"/>
    </row>
    <row r="13" spans="1:10" ht="15.75" customHeight="1">
      <c r="B13" s="17" t="s">
        <v>145</v>
      </c>
      <c r="C13" s="190"/>
      <c r="D13" s="222">
        <f ca="1">Dashboard!C12</f>
        <v>0.08</v>
      </c>
      <c r="E13" s="18" t="str">
        <f>IF(E4="","",D13)</f>
        <v/>
      </c>
      <c r="F13" s="18" t="str">
        <f>IF(F4="","",D13)</f>
        <v/>
      </c>
      <c r="G13" s="230">
        <f ca="1">Dashboard!C12</f>
        <v>0.08</v>
      </c>
      <c r="H13" s="62"/>
      <c r="I13" s="57"/>
      <c r="J13" s="57"/>
    </row>
    <row r="14" spans="1:10" ht="15.75" customHeight="1" thickBot="1">
      <c r="B14" s="83" t="s">
        <v>146</v>
      </c>
      <c r="C14" s="114"/>
      <c r="D14" s="223">
        <f ca="1">IF(D4="","",1+D13)</f>
        <v>1.08</v>
      </c>
      <c r="E14" s="224" t="str">
        <f>IF(E4="","",(1+D13)*(1+E13))</f>
        <v/>
      </c>
      <c r="F14" s="224" t="str">
        <f>IF(F4="","",(1+D13)*(1+E13)*(1+F13))</f>
        <v/>
      </c>
      <c r="G14" s="231">
        <f ca="1">IF(F4="",IF(E4="",D14,E14),F14)*(1+G13)</f>
        <v>1.1664000000000001</v>
      </c>
      <c r="H14" s="62"/>
      <c r="I14" s="57"/>
      <c r="J14" s="57"/>
    </row>
    <row r="15" spans="1:10" ht="15.75" customHeight="1" thickTop="1">
      <c r="B15" s="8" t="s">
        <v>291</v>
      </c>
      <c r="C15" s="236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2">
        <f ca="1">IF(G12=0,0,G12/G14)</f>
        <v>3.1969256270015636E-2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>
      <c r="B18" s="58" t="s">
        <v>232</v>
      </c>
      <c r="C18" s="84">
        <f>Asset_Model!E59</f>
        <v>1666461</v>
      </c>
      <c r="D18" s="218">
        <f>C18/(Dashboard!I5/Data!C4)</f>
        <v>0.91227451834369311</v>
      </c>
      <c r="E18" s="85" t="s">
        <v>230</v>
      </c>
      <c r="G18" s="137">
        <f>C18+C19+C20+C21</f>
        <v>3482766.15</v>
      </c>
    </row>
    <row r="19" spans="1:9" ht="15.75" customHeight="1">
      <c r="B19" s="58" t="s">
        <v>236</v>
      </c>
      <c r="C19" s="84">
        <f>Asset_Model!E58</f>
        <v>1832919.15</v>
      </c>
      <c r="D19" s="218">
        <f>C19/(Dashboard!I5/Data!C4)</f>
        <v>1.0033990802840158</v>
      </c>
      <c r="E19" s="85" t="s">
        <v>327</v>
      </c>
      <c r="G19" s="197">
        <f>(G18+MIN(D4,0))*Data!C$4/Dashboard!I5</f>
        <v>1.9065785589911606</v>
      </c>
    </row>
    <row r="20" spans="1:9" ht="15.75" customHeight="1">
      <c r="B20" s="58" t="s">
        <v>218</v>
      </c>
      <c r="C20" s="84">
        <f>-Asset_Model!D52</f>
        <v>-16614</v>
      </c>
      <c r="D20" s="218">
        <f>C20/(Dashboard!I5/Data!C4)</f>
        <v>-9.0950396365484208E-3</v>
      </c>
      <c r="E20" s="459" t="str">
        <f>IF(F21+G21=G19,"⇒","Error!")</f>
        <v>⇒</v>
      </c>
      <c r="F20" s="146" t="s">
        <v>237</v>
      </c>
      <c r="G20" s="87" t="s">
        <v>23</v>
      </c>
    </row>
    <row r="21" spans="1:9" ht="15.75" customHeight="1">
      <c r="B21" s="85" t="s">
        <v>231</v>
      </c>
      <c r="C21" s="84">
        <f>-Asset_Model!E50</f>
        <v>0</v>
      </c>
      <c r="D21" s="218">
        <f>C21/(Dashboard!I5/Data!C4)</f>
        <v>0</v>
      </c>
      <c r="E21" s="459"/>
      <c r="F21" s="148">
        <f>D18+(MIN(D4,0)*Data!C$4/Dashboard!I5)</f>
        <v>0.91227451834369311</v>
      </c>
      <c r="G21" s="147">
        <f>SUM(D19:D21)</f>
        <v>0.99430404064746736</v>
      </c>
    </row>
    <row r="22" spans="1:9" ht="15.75" customHeight="1">
      <c r="F22" s="6"/>
      <c r="G22" s="6"/>
    </row>
    <row r="23" spans="1:9" ht="15.75" customHeight="1">
      <c r="B23" s="26" t="s">
        <v>219</v>
      </c>
      <c r="C23" s="194" t="str">
        <f>B3</f>
        <v>(Numbers in 1000HKD)</v>
      </c>
      <c r="E23" s="460" t="s">
        <v>224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222</v>
      </c>
      <c r="D24" s="202" t="s">
        <v>215</v>
      </c>
      <c r="E24" s="301" t="s">
        <v>223</v>
      </c>
      <c r="F24" s="263" t="str">
        <f>"Equity Value ("&amp;Dashboard!I11&amp;")"</f>
        <v>Equity Value (HKD)</v>
      </c>
      <c r="G24" s="263" t="str">
        <f>"Equity Value ("&amp;Dashboard!J4&amp;")"</f>
        <v>Equity Value (HKD)</v>
      </c>
      <c r="I24" s="86" t="s">
        <v>136</v>
      </c>
    </row>
    <row r="25" spans="1:9" ht="15.75" customHeight="1">
      <c r="B25" s="30" t="s">
        <v>289</v>
      </c>
      <c r="C25" s="14">
        <f>1/D25</f>
        <v>0.2</v>
      </c>
      <c r="D25" s="294">
        <v>5</v>
      </c>
      <c r="E25" s="206">
        <f ca="1">IF(G9&lt;0,G9,G9*D25/G14)</f>
        <v>1.9980785168759774E-2</v>
      </c>
      <c r="F25" s="206">
        <f ca="1">E25+$G$19</f>
        <v>1.9265593441599203</v>
      </c>
      <c r="G25" s="206">
        <f ca="1">ROUND(F25*Exchange_Rate,2)</f>
        <v>1.93</v>
      </c>
      <c r="I25" s="74"/>
    </row>
    <row r="26" spans="1:9" ht="15.75" customHeight="1">
      <c r="B26" s="30" t="s">
        <v>290</v>
      </c>
      <c r="C26" s="346">
        <f>1/D26</f>
        <v>0.125</v>
      </c>
      <c r="D26" s="347">
        <v>8</v>
      </c>
      <c r="E26" s="348">
        <f ca="1">IF(G9&lt;0,G9,G9*D26/G14)</f>
        <v>3.1969256270015636E-2</v>
      </c>
      <c r="F26" s="348">
        <f ca="1">E26+$G$19</f>
        <v>1.9385478152611761</v>
      </c>
      <c r="G26" s="348">
        <f ca="1">ROUND(F26*Exchange_Rate,2)</f>
        <v>1.94</v>
      </c>
      <c r="I26" s="74"/>
    </row>
    <row r="27" spans="1:9" ht="15.75" customHeight="1">
      <c r="B27" s="298" t="s">
        <v>297</v>
      </c>
      <c r="C27" s="299">
        <f t="shared" ref="C27" si="0">1/D27</f>
        <v>0.125</v>
      </c>
      <c r="D27" s="311">
        <v>8</v>
      </c>
      <c r="E27" s="207">
        <f ca="1">IF(G9&lt;0,G9,G9*D27/G14)</f>
        <v>3.1969256270015636E-2</v>
      </c>
      <c r="F27" s="207">
        <f ca="1">E27+$G$19</f>
        <v>1.9385478152611761</v>
      </c>
      <c r="G27" s="207">
        <f ca="1">ROUND(F27*Exchange_Rate,2)</f>
        <v>1.94</v>
      </c>
      <c r="I27" s="74"/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49" t="str">
        <f>"(Numbers in "&amp;Dashboard!J4&amp;" per share)"</f>
        <v>(Numbers in HKD per share)</v>
      </c>
      <c r="D29" s="127"/>
      <c r="E29" s="133"/>
      <c r="F29" s="362" t="s">
        <v>326</v>
      </c>
      <c r="G29" s="365">
        <f>IF(Asset_Model!D7&lt;G19,Asset_Model!D7,G19)</f>
        <v>1.9065785589911606</v>
      </c>
      <c r="H29" s="12"/>
      <c r="I29" s="90"/>
    </row>
    <row r="30" spans="1:9" ht="15.75" customHeight="1">
      <c r="A30" s="6"/>
      <c r="B30" s="71" t="s">
        <v>147</v>
      </c>
      <c r="C30" s="251">
        <f ca="1">MIN(G29,G25)+(ABS(G29-G25)*'Qualitative Analysis'!E8)</f>
        <v>1.922270924467083</v>
      </c>
      <c r="D30" s="23" t="str">
        <f ca="1">IF(C30&lt;E30,"&lt;",IF(C30=E30,"=","&gt;"))</f>
        <v>&lt;</v>
      </c>
      <c r="E30" s="250">
        <f ca="1">MAX(G26, G19*Exchange_Rate)</f>
        <v>1.94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>
      <c r="B33" s="254" t="s">
        <v>225</v>
      </c>
      <c r="C33" s="252">
        <f ca="1">MIN(C30,E30)+ABS(C30-E30)*'Qualitative Analysis'!$E$64</f>
        <v>1.9327487176525699</v>
      </c>
      <c r="D33" s="119" t="str">
        <f>Dashboard!J4</f>
        <v>HKD</v>
      </c>
      <c r="E33" s="120">
        <f ca="1">(C33-G19)/C9</f>
        <v>2.3711191120632655</v>
      </c>
      <c r="F33" s="158">
        <f ca="1">C33/(Data!C28*Exchange_Rate*Data!C4/Common_Shares)</f>
        <v>0.785584136560732</v>
      </c>
      <c r="G33" s="87"/>
      <c r="H33" s="6"/>
      <c r="I33" s="74"/>
    </row>
    <row r="34" spans="2:9" ht="15.75" customHeight="1"/>
    <row r="35" spans="2:9" ht="15.75" customHeight="1">
      <c r="B35" s="26" t="s">
        <v>329</v>
      </c>
      <c r="E35" s="30" t="s">
        <v>214</v>
      </c>
      <c r="F35" s="30" t="s">
        <v>18</v>
      </c>
      <c r="I35" s="86" t="s">
        <v>136</v>
      </c>
    </row>
    <row r="36" spans="2:9" ht="15.75" customHeight="1">
      <c r="B36" s="366" t="s">
        <v>330</v>
      </c>
      <c r="C36" s="368">
        <f>Asset_Model!I3*Exchange_Rate*Data!C4/Common_Shares*1.45</f>
        <v>3.5673908244449022</v>
      </c>
      <c r="D36" s="367" t="str">
        <f>D33</f>
        <v>HKD</v>
      </c>
      <c r="E36" s="120">
        <f>(C36-G19)/C9</f>
        <v>150.47611117365614</v>
      </c>
      <c r="F36" s="158">
        <f>C36/(Asset_Model!I3*Exchange_Rate*Data!C4/Common_Shares)</f>
        <v>1.45</v>
      </c>
      <c r="I36" s="74" t="s">
        <v>331</v>
      </c>
    </row>
    <row r="37" spans="2:9" ht="15.75" customHeight="1">
      <c r="B37" s="370">
        <v>0.8</v>
      </c>
      <c r="C37" s="369">
        <f>C36*B37</f>
        <v>2.8539126595559221</v>
      </c>
      <c r="D37" s="367" t="str">
        <f>D36</f>
        <v>HKD</v>
      </c>
      <c r="E37" s="120">
        <f>(C37-G19)/C9</f>
        <v>85.832188502192295</v>
      </c>
      <c r="F37" s="158">
        <f>C37/(Asset_Model!I3*Exchange_Rate*Data!C4/Common_Shares)</f>
        <v>1.1600000000000001</v>
      </c>
    </row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20" sqref="G20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149</v>
      </c>
      <c r="C2" s="95"/>
      <c r="D2" s="12"/>
      <c r="E2" s="12"/>
      <c r="G2" s="72" t="s">
        <v>136</v>
      </c>
    </row>
    <row r="3" spans="1:7" ht="14">
      <c r="B3" s="6" t="s">
        <v>272</v>
      </c>
      <c r="C3" s="96"/>
      <c r="D3" s="94">
        <f>IF(E3="Strongly disagree",0,IF(E3="disagree",1,IF(E3="unclear",2,IF(E3="agree",3,4))))</f>
        <v>3</v>
      </c>
      <c r="E3" s="31" t="s">
        <v>151</v>
      </c>
      <c r="G3" s="79"/>
    </row>
    <row r="4" spans="1:7" ht="14">
      <c r="B4" s="6" t="s">
        <v>274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>
      <c r="B5" s="6" t="s">
        <v>269</v>
      </c>
      <c r="C5" s="96"/>
      <c r="D5" s="94">
        <f>AVERAGE(D12:D16)</f>
        <v>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>
      <c r="B6" s="6" t="s">
        <v>270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271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152</v>
      </c>
      <c r="C8" s="96"/>
      <c r="D8" s="94">
        <f>AVERAGE(D3:D7)</f>
        <v>2.68</v>
      </c>
      <c r="E8" s="98">
        <f>D8/4</f>
        <v>0.67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153</v>
      </c>
      <c r="C10" s="20"/>
      <c r="D10" s="20"/>
      <c r="E10" s="12"/>
      <c r="G10" s="291"/>
    </row>
    <row r="11" spans="1:7" ht="15" customHeight="1">
      <c r="B11" s="99" t="s">
        <v>154</v>
      </c>
      <c r="C11" s="93"/>
      <c r="E11" s="6"/>
      <c r="G11" s="291"/>
    </row>
    <row r="12" spans="1:7" ht="15" customHeight="1">
      <c r="B12" s="53" t="s">
        <v>273</v>
      </c>
      <c r="D12" s="100">
        <f>IF(E12="Strongly disagree",0,IF(E12="disagree",1,IF(E12="unclear",2,IF(E12="agree",3,4))))</f>
        <v>1</v>
      </c>
      <c r="E12" s="31" t="s">
        <v>158</v>
      </c>
      <c r="F12" s="6"/>
      <c r="G12" s="291" t="s">
        <v>349</v>
      </c>
    </row>
    <row r="13" spans="1:7" ht="15" customHeight="1">
      <c r="B13" s="53" t="s">
        <v>155</v>
      </c>
      <c r="D13" s="100">
        <f>IF(E13="Strongly disagree",0,IF(E13="disagree",1,IF(E13="unclear",2,IF(E13="agree",3,4))))</f>
        <v>2</v>
      </c>
      <c r="E13" s="31" t="s">
        <v>150</v>
      </c>
      <c r="F13" s="6"/>
      <c r="G13" s="291"/>
    </row>
    <row r="14" spans="1:7" ht="15" customHeight="1">
      <c r="B14" s="53" t="s">
        <v>156</v>
      </c>
      <c r="D14" s="100">
        <f>IF(E14="Strongly disagree",0,IF(E14="disagree",1,IF(E14="unclear",2,IF(E14="agree",3,4))))</f>
        <v>2</v>
      </c>
      <c r="E14" s="31" t="s">
        <v>150</v>
      </c>
      <c r="F14" s="6"/>
      <c r="G14" s="291"/>
    </row>
    <row r="15" spans="1:7" ht="15" customHeight="1">
      <c r="B15" s="53" t="s">
        <v>157</v>
      </c>
      <c r="D15" s="100">
        <f>IF(E15="Strongly disagree",0,IF(E15="disagree",1,IF(E15="unclear",2,IF(E15="agree",3,4))))</f>
        <v>3</v>
      </c>
      <c r="E15" s="31" t="s">
        <v>151</v>
      </c>
      <c r="F15" s="6"/>
      <c r="G15" s="291"/>
    </row>
    <row r="16" spans="1:7" ht="15" customHeight="1">
      <c r="B16" s="53" t="s">
        <v>159</v>
      </c>
      <c r="D16" s="100">
        <f>IF(E16="Strongly disagree",0,IF(E16="disagree",1,IF(E16="unclear",2,IF(E16="agree",3,4))))</f>
        <v>2</v>
      </c>
      <c r="E16" s="31" t="s">
        <v>150</v>
      </c>
      <c r="F16" s="6"/>
      <c r="G16" s="291"/>
    </row>
    <row r="17" spans="2:7" ht="15" customHeight="1">
      <c r="B17" s="99" t="s">
        <v>161</v>
      </c>
      <c r="D17" s="38"/>
      <c r="E17" s="23"/>
      <c r="G17" s="291"/>
    </row>
    <row r="18" spans="2:7" ht="15" customHeight="1">
      <c r="B18" s="53" t="s">
        <v>294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1"/>
    </row>
    <row r="19" spans="2:7" ht="15" customHeight="1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1" t="s">
        <v>350</v>
      </c>
    </row>
    <row r="20" spans="2:7" ht="15" customHeight="1">
      <c r="B20" s="53" t="s">
        <v>163</v>
      </c>
      <c r="D20" s="100">
        <f t="shared" si="1"/>
        <v>2</v>
      </c>
      <c r="E20" s="31" t="s">
        <v>150</v>
      </c>
      <c r="F20" s="6"/>
      <c r="G20" s="291"/>
    </row>
    <row r="21" spans="2:7" ht="15" customHeight="1">
      <c r="B21" s="53" t="s">
        <v>164</v>
      </c>
      <c r="D21" s="100">
        <f t="shared" si="1"/>
        <v>2</v>
      </c>
      <c r="E21" s="31" t="s">
        <v>150</v>
      </c>
      <c r="F21" s="6"/>
      <c r="G21" s="291"/>
    </row>
    <row r="22" spans="2:7" ht="15" customHeight="1">
      <c r="B22" s="53" t="s">
        <v>165</v>
      </c>
      <c r="D22" s="100">
        <f t="shared" si="1"/>
        <v>4</v>
      </c>
      <c r="E22" s="31" t="s">
        <v>160</v>
      </c>
      <c r="F22" s="6"/>
      <c r="G22" s="291"/>
    </row>
    <row r="23" spans="2:7" ht="15" customHeight="1">
      <c r="B23" s="99" t="s">
        <v>166</v>
      </c>
      <c r="D23" s="38"/>
      <c r="E23" s="23"/>
      <c r="G23" s="291"/>
    </row>
    <row r="24" spans="2:7" ht="15" customHeight="1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1" t="s">
        <v>298</v>
      </c>
    </row>
    <row r="25" spans="2:7" ht="15" customHeight="1">
      <c r="B25" s="53" t="s">
        <v>168</v>
      </c>
      <c r="D25" s="100">
        <f t="shared" si="2"/>
        <v>3</v>
      </c>
      <c r="E25" s="31" t="s">
        <v>151</v>
      </c>
      <c r="F25" s="6"/>
      <c r="G25" s="291" t="s">
        <v>299</v>
      </c>
    </row>
    <row r="26" spans="2:7" ht="15" customHeight="1">
      <c r="B26" s="53" t="s">
        <v>275</v>
      </c>
      <c r="D26" s="100">
        <f t="shared" si="2"/>
        <v>2</v>
      </c>
      <c r="E26" s="31" t="s">
        <v>150</v>
      </c>
      <c r="F26" s="6"/>
      <c r="G26" s="291"/>
    </row>
    <row r="27" spans="2:7" ht="15" customHeight="1">
      <c r="B27" s="53" t="s">
        <v>276</v>
      </c>
      <c r="D27" s="100">
        <f t="shared" si="2"/>
        <v>2</v>
      </c>
      <c r="E27" s="31" t="s">
        <v>150</v>
      </c>
      <c r="F27" s="6"/>
      <c r="G27" s="291"/>
    </row>
    <row r="28" spans="2:7" ht="15" customHeight="1">
      <c r="B28" s="53" t="s">
        <v>169</v>
      </c>
      <c r="D28" s="100">
        <f t="shared" si="2"/>
        <v>2</v>
      </c>
      <c r="E28" s="31" t="s">
        <v>150</v>
      </c>
      <c r="F28" s="6"/>
      <c r="G28" s="291"/>
    </row>
    <row r="29" spans="2:7" ht="15" customHeight="1">
      <c r="B29" s="99" t="s">
        <v>170</v>
      </c>
      <c r="D29" s="38"/>
      <c r="E29" s="23"/>
      <c r="G29" s="291"/>
    </row>
    <row r="30" spans="2:7" ht="15" customHeight="1">
      <c r="B30" s="1" t="s">
        <v>171</v>
      </c>
      <c r="D30" s="103">
        <f>SUM(D31:D35)/(5*4)</f>
        <v>0.25</v>
      </c>
      <c r="E30" s="49" t="str">
        <f>IF(D30&gt;80%,"Very High",IF(D30&lt;=20%,"Very Low",IF(D30&lt;=40%,"Low",IF(D30&lt;=60%,"Medium","High"))))</f>
        <v>Low</v>
      </c>
      <c r="F30" s="6"/>
      <c r="G30" s="291"/>
    </row>
    <row r="31" spans="2:7" ht="15" customHeight="1">
      <c r="B31" s="53" t="s">
        <v>172</v>
      </c>
      <c r="D31" s="100">
        <f t="shared" ref="D31:D35" si="3">IF(E31="Strongly disagree",0,IF(E31="disagree",1,IF(E31="unclear",2,IF(E31="agree",3,4))))</f>
        <v>2</v>
      </c>
      <c r="E31" s="31" t="s">
        <v>150</v>
      </c>
      <c r="F31" s="6"/>
      <c r="G31" s="291"/>
    </row>
    <row r="32" spans="2:7" ht="15" customHeight="1">
      <c r="B32" s="53" t="s">
        <v>277</v>
      </c>
      <c r="D32" s="100">
        <f t="shared" si="3"/>
        <v>1</v>
      </c>
      <c r="E32" s="31" t="s">
        <v>158</v>
      </c>
      <c r="F32" s="6"/>
      <c r="G32" s="291"/>
    </row>
    <row r="33" spans="2:7" ht="15" customHeight="1">
      <c r="B33" s="53" t="s">
        <v>278</v>
      </c>
      <c r="D33" s="100">
        <f t="shared" si="3"/>
        <v>0</v>
      </c>
      <c r="E33" s="31" t="s">
        <v>173</v>
      </c>
      <c r="F33" s="6"/>
      <c r="G33" s="291"/>
    </row>
    <row r="34" spans="2:7" ht="15" customHeight="1">
      <c r="B34" s="53" t="s">
        <v>279</v>
      </c>
      <c r="D34" s="100">
        <f t="shared" si="3"/>
        <v>0</v>
      </c>
      <c r="E34" s="31" t="s">
        <v>173</v>
      </c>
      <c r="F34" s="6"/>
      <c r="G34" s="291"/>
    </row>
    <row r="35" spans="2:7" ht="15" customHeight="1">
      <c r="B35" s="53" t="s">
        <v>296</v>
      </c>
      <c r="D35" s="100">
        <f t="shared" si="3"/>
        <v>2</v>
      </c>
      <c r="E35" s="31" t="s">
        <v>150</v>
      </c>
      <c r="G35" s="291"/>
    </row>
    <row r="36" spans="2:7" ht="15" customHeight="1">
      <c r="B36" s="1" t="s">
        <v>174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1"/>
    </row>
    <row r="37" spans="2:7" ht="15" customHeight="1">
      <c r="B37" s="53" t="s">
        <v>175</v>
      </c>
      <c r="D37" s="100">
        <f t="shared" ref="D37:D41" si="4">IF(E37="Strongly disagree",0,IF(E37="disagree",1,IF(E37="unclear",2,IF(E37="agree",3,4))))</f>
        <v>2</v>
      </c>
      <c r="E37" s="31" t="s">
        <v>150</v>
      </c>
      <c r="F37" s="6"/>
      <c r="G37" s="291"/>
    </row>
    <row r="38" spans="2:7" ht="15" customHeight="1">
      <c r="B38" s="53" t="s">
        <v>280</v>
      </c>
      <c r="D38" s="100">
        <f t="shared" si="4"/>
        <v>0</v>
      </c>
      <c r="E38" s="31" t="s">
        <v>173</v>
      </c>
      <c r="F38" s="6"/>
      <c r="G38" s="291"/>
    </row>
    <row r="39" spans="2:7" ht="15" customHeight="1">
      <c r="B39" s="53" t="s">
        <v>281</v>
      </c>
      <c r="D39" s="100">
        <f t="shared" si="4"/>
        <v>0</v>
      </c>
      <c r="E39" s="31" t="s">
        <v>173</v>
      </c>
      <c r="F39" s="6"/>
      <c r="G39" s="291"/>
    </row>
    <row r="40" spans="2:7" ht="15" customHeight="1">
      <c r="B40" s="53" t="s">
        <v>282</v>
      </c>
      <c r="D40" s="100">
        <f t="shared" si="4"/>
        <v>4</v>
      </c>
      <c r="E40" s="31" t="s">
        <v>160</v>
      </c>
      <c r="F40" s="6"/>
      <c r="G40" s="291"/>
    </row>
    <row r="41" spans="2:7" ht="15" customHeight="1">
      <c r="B41" s="53" t="s">
        <v>283</v>
      </c>
      <c r="D41" s="100">
        <f t="shared" si="4"/>
        <v>4</v>
      </c>
      <c r="E41" s="31" t="s">
        <v>160</v>
      </c>
      <c r="G41" s="291"/>
    </row>
    <row r="42" spans="2:7" ht="15" customHeight="1">
      <c r="B42" s="1" t="s">
        <v>176</v>
      </c>
      <c r="D42" s="10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91"/>
    </row>
    <row r="43" spans="2:7" ht="15" customHeight="1">
      <c r="B43" s="53" t="s">
        <v>177</v>
      </c>
      <c r="D43" s="100">
        <f t="shared" ref="D43:D48" si="5">IF(E43="Strongly disagree",0,IF(E43="disagree",1,IF(E43="unclear",2,IF(E43="agree",3,4))))</f>
        <v>3</v>
      </c>
      <c r="E43" s="31" t="s">
        <v>151</v>
      </c>
      <c r="F43" s="6"/>
      <c r="G43" s="291"/>
    </row>
    <row r="44" spans="2:7" ht="15" customHeight="1">
      <c r="B44" s="53" t="s">
        <v>178</v>
      </c>
      <c r="D44" s="100">
        <f t="shared" si="5"/>
        <v>0</v>
      </c>
      <c r="E44" s="31" t="s">
        <v>173</v>
      </c>
      <c r="F44" s="6"/>
      <c r="G44" s="291"/>
    </row>
    <row r="45" spans="2:7" ht="15" customHeight="1">
      <c r="B45" s="53" t="s">
        <v>179</v>
      </c>
      <c r="D45" s="100">
        <f t="shared" si="5"/>
        <v>4</v>
      </c>
      <c r="E45" s="31" t="s">
        <v>160</v>
      </c>
      <c r="F45" s="6"/>
      <c r="G45" s="291"/>
    </row>
    <row r="46" spans="2:7" ht="15" customHeight="1">
      <c r="B46" s="53" t="s">
        <v>180</v>
      </c>
      <c r="D46" s="100">
        <f t="shared" si="5"/>
        <v>2</v>
      </c>
      <c r="E46" s="31" t="s">
        <v>150</v>
      </c>
      <c r="F46" s="6"/>
      <c r="G46" s="291" t="s">
        <v>300</v>
      </c>
    </row>
    <row r="47" spans="2:7" ht="15" customHeight="1">
      <c r="B47" s="53" t="s">
        <v>181</v>
      </c>
      <c r="D47" s="100">
        <f t="shared" si="5"/>
        <v>3</v>
      </c>
      <c r="E47" s="31" t="s">
        <v>151</v>
      </c>
      <c r="F47" s="6"/>
      <c r="G47" s="291"/>
    </row>
    <row r="48" spans="2:7" ht="15" customHeight="1">
      <c r="B48" s="53" t="s">
        <v>207</v>
      </c>
      <c r="D48" s="100">
        <f t="shared" si="5"/>
        <v>0</v>
      </c>
      <c r="E48" s="31" t="s">
        <v>173</v>
      </c>
      <c r="F48" s="6"/>
      <c r="G48" s="291"/>
    </row>
    <row r="49" spans="2:8" ht="15" customHeight="1">
      <c r="B49" s="1" t="s">
        <v>182</v>
      </c>
      <c r="D49" s="103">
        <f>SUM(D50:D54)/(5*4)</f>
        <v>0.30510204081632653</v>
      </c>
      <c r="E49" s="49" t="str">
        <f>IF(D49&gt;80%,"Very High",IF(D49&lt;=20%,"Very Low",IF(D49&lt;=40%,"Low",IF(D49&lt;=60%,"Medium","High"))))</f>
        <v>Low</v>
      </c>
      <c r="F49" s="6"/>
      <c r="G49" s="291"/>
    </row>
    <row r="50" spans="2:8" ht="15" customHeight="1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1"/>
    </row>
    <row r="51" spans="2:8" ht="15" customHeight="1">
      <c r="B51" s="53" t="s">
        <v>184</v>
      </c>
      <c r="D51" s="100">
        <f t="shared" si="6"/>
        <v>0</v>
      </c>
      <c r="E51" s="31" t="s">
        <v>173</v>
      </c>
      <c r="F51" s="6"/>
      <c r="G51" s="291"/>
    </row>
    <row r="52" spans="2:8" ht="15" customHeight="1">
      <c r="B52" s="53" t="s">
        <v>284</v>
      </c>
      <c r="D52" s="100">
        <f t="shared" si="6"/>
        <v>2</v>
      </c>
      <c r="E52" s="31" t="s">
        <v>150</v>
      </c>
      <c r="G52" s="291"/>
    </row>
    <row r="53" spans="2:8" ht="15" customHeight="1">
      <c r="B53" s="53" t="s">
        <v>285</v>
      </c>
      <c r="D53" s="100">
        <f>IF(E53="Strongly disagree",0,IF(E53="disagree",1,IF(E53="unclear",2,IF(E53="agree",3,4))))</f>
        <v>1</v>
      </c>
      <c r="E53" s="31" t="s">
        <v>158</v>
      </c>
      <c r="F53" s="53"/>
      <c r="G53" s="291"/>
      <c r="H53" s="53"/>
    </row>
    <row r="54" spans="2:8" ht="15" customHeight="1">
      <c r="B54" s="53" t="s">
        <v>286</v>
      </c>
      <c r="D54" s="104">
        <f t="array" ref="D54">(1-INDEX(B68:E77,MATCH(E54,B68:B77,0),4))*4</f>
        <v>3.1020408163265305</v>
      </c>
      <c r="E54" s="31" t="s">
        <v>347</v>
      </c>
      <c r="F54" s="53"/>
      <c r="G54" s="291"/>
      <c r="H54" s="53"/>
    </row>
    <row r="55" spans="2:8" ht="15" customHeight="1">
      <c r="B55" s="1" t="s">
        <v>185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1"/>
      <c r="H55" s="53"/>
    </row>
    <row r="56" spans="2:8" ht="15" customHeight="1">
      <c r="B56" s="53" t="s">
        <v>186</v>
      </c>
      <c r="D56" s="100">
        <f t="shared" ref="D56:D60" si="7">IF(E56="Strongly disagree",0,IF(E56="disagree",1,IF(E56="unclear",2,IF(E56="agree",3,4))))</f>
        <v>3</v>
      </c>
      <c r="E56" s="31" t="s">
        <v>151</v>
      </c>
      <c r="F56" s="53"/>
      <c r="G56" s="291"/>
      <c r="H56" s="53"/>
    </row>
    <row r="57" spans="2:8" ht="15" customHeight="1">
      <c r="B57" s="53" t="s">
        <v>187</v>
      </c>
      <c r="D57" s="100">
        <f t="shared" si="7"/>
        <v>1</v>
      </c>
      <c r="E57" s="31" t="s">
        <v>158</v>
      </c>
      <c r="F57" s="53"/>
      <c r="G57" s="291"/>
      <c r="H57" s="53"/>
    </row>
    <row r="58" spans="2:8" ht="15" customHeight="1">
      <c r="B58" s="53" t="s">
        <v>208</v>
      </c>
      <c r="D58" s="100">
        <f t="shared" si="7"/>
        <v>1</v>
      </c>
      <c r="E58" s="31" t="s">
        <v>158</v>
      </c>
      <c r="F58" s="53"/>
      <c r="G58" s="291"/>
      <c r="H58" s="53"/>
    </row>
    <row r="59" spans="2:8" ht="15" customHeight="1">
      <c r="B59" s="53" t="s">
        <v>209</v>
      </c>
      <c r="D59" s="100">
        <f t="shared" si="7"/>
        <v>4</v>
      </c>
      <c r="E59" s="31" t="s">
        <v>160</v>
      </c>
      <c r="F59" s="53"/>
      <c r="G59" s="291"/>
      <c r="H59" s="53"/>
    </row>
    <row r="60" spans="2:8" ht="15" customHeight="1">
      <c r="B60" s="53" t="s">
        <v>210</v>
      </c>
      <c r="D60" s="100">
        <f t="shared" si="7"/>
        <v>4</v>
      </c>
      <c r="E60" s="31" t="s">
        <v>160</v>
      </c>
      <c r="F60" s="53"/>
      <c r="G60" s="291"/>
      <c r="H60" s="53"/>
    </row>
    <row r="61" spans="2:8" ht="15" customHeight="1">
      <c r="B61" s="53" t="s">
        <v>211</v>
      </c>
      <c r="D61" s="100">
        <f>IF(E61="Strongly disagree",0,IF(E61="disagree",1,IF(E61="non-perishable",2,IF(E61="agree",3,4))))</f>
        <v>2</v>
      </c>
      <c r="E61" s="31" t="s">
        <v>348</v>
      </c>
      <c r="F61" s="53"/>
      <c r="G61" s="291"/>
      <c r="H61" s="53"/>
    </row>
    <row r="62" spans="2:8" ht="15" customHeight="1">
      <c r="B62" s="146" t="s">
        <v>188</v>
      </c>
      <c r="D62" s="126">
        <f>1-AVERAGE(D30,D36,D42,D49,D55)</f>
        <v>0.56397959183673474</v>
      </c>
      <c r="E62" s="49" t="str">
        <f>IF(D62&gt;80%,"Very Low",IF(D62&lt;=20%,"Very High",IF(D62&lt;=40%,"High",IF(D62&lt;=60%,"Medium","Low"))))</f>
        <v>Medium</v>
      </c>
      <c r="F62" s="53"/>
      <c r="G62" s="291"/>
      <c r="H62" s="53"/>
    </row>
    <row r="63" spans="2:8" ht="15" customHeight="1">
      <c r="D63" s="6"/>
      <c r="G63" s="291"/>
    </row>
    <row r="64" spans="2:8" ht="15" customHeight="1">
      <c r="B64" s="97" t="s">
        <v>189</v>
      </c>
      <c r="D64" s="94">
        <f>E64*4</f>
        <v>2.3639795918367348</v>
      </c>
      <c r="E64" s="125">
        <f>AVERAGE(AVERAGE(D12:D16)/4,AVERAGE(D18:D22)/4,AVERAGE(D24:D28)/4,D62)</f>
        <v>0.5909948979591837</v>
      </c>
      <c r="G64" s="291"/>
    </row>
    <row r="65" spans="2:7" ht="15" customHeight="1">
      <c r="G65" s="292"/>
    </row>
    <row r="66" spans="2:7" ht="15" customHeight="1">
      <c r="B66" s="54" t="s">
        <v>190</v>
      </c>
      <c r="C66" s="7"/>
      <c r="D66" s="7"/>
      <c r="E66" s="55"/>
    </row>
    <row r="67" spans="2:7" ht="15" customHeight="1">
      <c r="B67" s="106" t="s">
        <v>191</v>
      </c>
      <c r="C67" s="107"/>
      <c r="D67" s="107"/>
      <c r="E67" s="108"/>
    </row>
    <row r="68" spans="2:7" ht="15" customHeight="1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2023-06-19T07:12:35Z</dcterms:modified>
  <cp:category/>
  <cp:contentStatus/>
</cp:coreProperties>
</file>