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77BED6D1-7039-41C9-BDCA-CE73FE2B4DA7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D63" i="3" l="1"/>
  <c r="G16" i="3"/>
  <c r="G4" i="7" l="1"/>
  <c r="I10" i="7"/>
  <c r="I14" i="7"/>
  <c r="I12" i="7"/>
  <c r="I17" i="7" s="1"/>
  <c r="G7" i="7"/>
  <c r="C14" i="7"/>
  <c r="E14" i="7" s="1"/>
  <c r="C12" i="4"/>
  <c r="F12" i="4"/>
  <c r="E12" i="4"/>
  <c r="E11" i="4" s="1"/>
  <c r="D12" i="4"/>
  <c r="C14" i="4"/>
  <c r="D15" i="4"/>
  <c r="E4" i="7"/>
  <c r="E6" i="7"/>
  <c r="G6" i="7" s="1"/>
  <c r="E7" i="7"/>
  <c r="E5" i="7"/>
  <c r="G5" i="7" s="1"/>
  <c r="D6" i="7"/>
  <c r="C8" i="7"/>
  <c r="D7" i="7" s="1"/>
  <c r="C32" i="3"/>
  <c r="C33" i="3"/>
  <c r="C34" i="3"/>
  <c r="C17" i="3"/>
  <c r="I13" i="3"/>
  <c r="I30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5" i="7" l="1"/>
  <c r="I16" i="7"/>
  <c r="D4" i="7"/>
  <c r="D5" i="7"/>
  <c r="G8" i="7"/>
  <c r="E8" i="7"/>
  <c r="H4" i="7" l="1"/>
  <c r="H7" i="7"/>
  <c r="H6" i="7"/>
  <c r="H5" i="7"/>
  <c r="G10" i="7"/>
  <c r="G9" i="7"/>
  <c r="F7" i="7"/>
  <c r="E10" i="7"/>
  <c r="E13" i="7"/>
  <c r="F4" i="7"/>
  <c r="F5" i="7"/>
  <c r="I3" i="7" l="1"/>
  <c r="F3" i="4" s="1"/>
  <c r="I4" i="3"/>
  <c r="D4" i="3"/>
  <c r="D6" i="1"/>
  <c r="E9" i="3"/>
  <c r="C3" i="7" l="1"/>
  <c r="C33" i="4"/>
  <c r="C3" i="4" l="1"/>
  <c r="E3" i="7"/>
  <c r="G38" i="4"/>
  <c r="C18" i="4"/>
  <c r="B3" i="4"/>
  <c r="C20" i="4" s="1"/>
  <c r="F4" i="4"/>
  <c r="F17" i="4" s="1"/>
  <c r="G14" i="7"/>
  <c r="G12" i="7"/>
  <c r="C10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29" i="4"/>
  <c r="D30" i="4" s="1"/>
  <c r="D31" i="4" s="1"/>
  <c r="D37" i="4"/>
  <c r="D38" i="4" s="1"/>
  <c r="D3" i="4" l="1"/>
  <c r="G3" i="7"/>
  <c r="E3" i="4" s="1"/>
  <c r="G17" i="7"/>
  <c r="G15" i="7" s="1"/>
  <c r="F6" i="7"/>
  <c r="C58" i="3"/>
  <c r="F5" i="4"/>
  <c r="C11" i="7"/>
  <c r="E12" i="7" s="1"/>
  <c r="C13" i="7"/>
  <c r="F16" i="4"/>
  <c r="F10" i="4"/>
  <c r="F6" i="4"/>
  <c r="F7" i="4"/>
  <c r="F9" i="4" s="1"/>
  <c r="B3" i="7"/>
  <c r="C12" i="7"/>
  <c r="C17" i="7" s="1"/>
  <c r="E9" i="7"/>
  <c r="C29" i="4"/>
  <c r="D6" i="4"/>
  <c r="E4" i="4" l="1"/>
  <c r="E6" i="4" s="1"/>
  <c r="I32" i="3"/>
  <c r="E17" i="7"/>
  <c r="D4" i="4" s="1"/>
  <c r="C15" i="7"/>
  <c r="C4" i="4"/>
  <c r="C30" i="4"/>
  <c r="D53" i="3"/>
  <c r="D52" i="3" s="1"/>
  <c r="C23" i="4" s="1"/>
  <c r="D23" i="4" s="1"/>
  <c r="B28" i="4"/>
  <c r="B27" i="4" s="1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I46" i="3"/>
  <c r="E19" i="3"/>
  <c r="I15" i="3"/>
  <c r="E31" i="3"/>
  <c r="E16" i="3"/>
  <c r="E20" i="3"/>
  <c r="C24" i="3"/>
  <c r="G16" i="7" l="1"/>
  <c r="E5" i="4" s="1"/>
  <c r="E7" i="4"/>
  <c r="C7" i="1"/>
  <c r="E16" i="7"/>
  <c r="D5" i="4" s="1"/>
  <c r="E15" i="7"/>
  <c r="C44" i="3"/>
  <c r="C25" i="3"/>
  <c r="E10" i="4" l="1"/>
  <c r="E8" i="4" s="1"/>
  <c r="C31" i="4"/>
  <c r="C45" i="3"/>
  <c r="E12" i="3"/>
  <c r="D69" i="5" l="1"/>
  <c r="E35" i="3" l="1"/>
  <c r="D16" i="5"/>
  <c r="D18" i="5"/>
  <c r="D19" i="5"/>
  <c r="D17" i="5"/>
  <c r="D20" i="5" l="1"/>
  <c r="E20" i="5" s="1"/>
  <c r="E21" i="5" s="1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44" i="5"/>
  <c r="D45" i="5"/>
  <c r="D46" i="5"/>
  <c r="D47" i="5"/>
  <c r="D48" i="5"/>
  <c r="J12" i="1"/>
  <c r="E5" i="1"/>
  <c r="E4" i="2"/>
  <c r="G34" i="2"/>
  <c r="G35" i="2" s="1"/>
  <c r="H34" i="2"/>
  <c r="H35" i="2" s="1"/>
  <c r="I34" i="2"/>
  <c r="I35" i="2" s="1"/>
  <c r="J34" i="2"/>
  <c r="J35" i="2" s="1"/>
  <c r="K34" i="2"/>
  <c r="K35" i="2" s="1"/>
  <c r="L34" i="2"/>
  <c r="L35" i="2" s="1"/>
  <c r="M34" i="2"/>
  <c r="M35" i="2" s="1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E33" i="2"/>
  <c r="D33" i="2"/>
  <c r="C33" i="2"/>
  <c r="C8" i="2"/>
  <c r="C10" i="2"/>
  <c r="M15" i="2"/>
  <c r="D10" i="5"/>
  <c r="D5" i="5"/>
  <c r="D6" i="5"/>
  <c r="D4" i="5"/>
  <c r="C21" i="4" l="1"/>
  <c r="D21" i="4" s="1"/>
  <c r="F24" i="4" s="1"/>
  <c r="C34" i="2"/>
  <c r="C32" i="2"/>
  <c r="D34" i="2"/>
  <c r="D32" i="2"/>
  <c r="E34" i="2"/>
  <c r="E32" i="2"/>
  <c r="F34" i="2"/>
  <c r="F35" i="2" s="1"/>
  <c r="F32" i="2"/>
  <c r="C13" i="2"/>
  <c r="C12" i="2" s="1"/>
  <c r="C16" i="2"/>
  <c r="C45" i="2" s="1"/>
  <c r="E93" i="5"/>
  <c r="B93" i="5"/>
  <c r="E92" i="5"/>
  <c r="B92" i="5"/>
  <c r="E91" i="5"/>
  <c r="B91" i="5"/>
  <c r="E90" i="5"/>
  <c r="B90" i="5"/>
  <c r="E89" i="5"/>
  <c r="B89" i="5"/>
  <c r="E88" i="5"/>
  <c r="B88" i="5"/>
  <c r="E87" i="5"/>
  <c r="B87" i="5"/>
  <c r="E86" i="5"/>
  <c r="B86" i="5"/>
  <c r="E85" i="5"/>
  <c r="B85" i="5"/>
  <c r="E84" i="5"/>
  <c r="D77" i="5"/>
  <c r="D76" i="5"/>
  <c r="D71" i="5" s="1"/>
  <c r="D75" i="5"/>
  <c r="D74" i="5"/>
  <c r="D73" i="5"/>
  <c r="D72" i="5"/>
  <c r="D68" i="5"/>
  <c r="D67" i="5"/>
  <c r="D66" i="5"/>
  <c r="D65" i="5"/>
  <c r="D63" i="5"/>
  <c r="D62" i="5"/>
  <c r="D61" i="5"/>
  <c r="D60" i="5"/>
  <c r="D59" i="5"/>
  <c r="D58" i="5"/>
  <c r="D56" i="5"/>
  <c r="D55" i="5"/>
  <c r="D54" i="5"/>
  <c r="D53" i="5"/>
  <c r="D52" i="5"/>
  <c r="D51" i="5"/>
  <c r="D49" i="5"/>
  <c r="D43" i="5" s="1"/>
  <c r="D41" i="5"/>
  <c r="D40" i="5"/>
  <c r="D39" i="5"/>
  <c r="D38" i="5"/>
  <c r="D37" i="5"/>
  <c r="D35" i="5"/>
  <c r="D34" i="5"/>
  <c r="D33" i="5"/>
  <c r="D32" i="5"/>
  <c r="D29" i="5"/>
  <c r="D28" i="5"/>
  <c r="D27" i="5"/>
  <c r="D26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B54" i="2"/>
  <c r="D53" i="2"/>
  <c r="E53" i="2" s="1"/>
  <c r="M17" i="2"/>
  <c r="M20" i="2"/>
  <c r="L20" i="2"/>
  <c r="K20" i="2"/>
  <c r="J20" i="2"/>
  <c r="I20" i="2"/>
  <c r="H20" i="2"/>
  <c r="G20" i="2"/>
  <c r="F20" i="2"/>
  <c r="E20" i="2"/>
  <c r="D20" i="2"/>
  <c r="C20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E32" i="1" l="1"/>
  <c r="E33" i="1" s="1"/>
  <c r="E58" i="3"/>
  <c r="D58" i="3" s="1"/>
  <c r="C35" i="2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6" i="4"/>
  <c r="D57" i="5"/>
  <c r="E57" i="5" s="1"/>
  <c r="E24" i="3"/>
  <c r="E71" i="5"/>
  <c r="D21" i="5"/>
  <c r="C46" i="3"/>
  <c r="E3" i="3" s="1"/>
  <c r="D70" i="5" a="1"/>
  <c r="D70" i="5" s="1"/>
  <c r="E43" i="5"/>
  <c r="F16" i="2"/>
  <c r="F45" i="2" s="1"/>
  <c r="K15" i="2"/>
  <c r="L16" i="2"/>
  <c r="L45" i="2" s="1"/>
  <c r="L15" i="2"/>
  <c r="M16" i="2"/>
  <c r="M45" i="2" s="1"/>
  <c r="C71" i="2"/>
  <c r="C17" i="2"/>
  <c r="I9" i="1"/>
  <c r="F15" i="2"/>
  <c r="G15" i="2"/>
  <c r="C68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C72" i="2"/>
  <c r="J13" i="2"/>
  <c r="D14" i="2"/>
  <c r="H13" i="2"/>
  <c r="H12" i="2" s="1"/>
  <c r="L13" i="2"/>
  <c r="L12" i="2" s="1"/>
  <c r="F10" i="2"/>
  <c r="J10" i="2"/>
  <c r="J12" i="2" s="1"/>
  <c r="D54" i="2"/>
  <c r="E54" i="2" s="1"/>
  <c r="F54" i="2"/>
  <c r="B53" i="2"/>
  <c r="E14" i="2"/>
  <c r="I14" i="2"/>
  <c r="F4" i="2"/>
  <c r="K13" i="2"/>
  <c r="K12" i="2" s="1"/>
  <c r="B55" i="2"/>
  <c r="C70" i="2"/>
  <c r="E26" i="3"/>
  <c r="D50" i="5"/>
  <c r="E44" i="3" l="1"/>
  <c r="D44" i="3" s="1"/>
  <c r="D24" i="3"/>
  <c r="I16" i="2"/>
  <c r="I45" i="2" s="1"/>
  <c r="I44" i="2"/>
  <c r="E16" i="2"/>
  <c r="E44" i="2"/>
  <c r="D16" i="2"/>
  <c r="D44" i="2"/>
  <c r="C22" i="4"/>
  <c r="D22" i="4" s="1"/>
  <c r="E25" i="3"/>
  <c r="I24" i="3"/>
  <c r="D64" i="5"/>
  <c r="E64" i="5" s="1"/>
  <c r="J9" i="1"/>
  <c r="H15" i="2"/>
  <c r="I15" i="2"/>
  <c r="D15" i="2"/>
  <c r="E15" i="2"/>
  <c r="C15" i="2"/>
  <c r="F12" i="2"/>
  <c r="H17" i="2"/>
  <c r="F17" i="2"/>
  <c r="D55" i="2"/>
  <c r="E55" i="2" s="1"/>
  <c r="B56" i="2"/>
  <c r="F55" i="2"/>
  <c r="E13" i="2"/>
  <c r="E12" i="2" s="1"/>
  <c r="E46" i="3"/>
  <c r="D26" i="3"/>
  <c r="D7" i="4"/>
  <c r="E50" i="5"/>
  <c r="K17" i="2"/>
  <c r="C69" i="2"/>
  <c r="D13" i="2"/>
  <c r="D12" i="2" s="1"/>
  <c r="J17" i="2"/>
  <c r="G17" i="2"/>
  <c r="I13" i="2"/>
  <c r="I12" i="2" s="1"/>
  <c r="L17" i="2"/>
  <c r="E45" i="3" l="1"/>
  <c r="D45" i="3" s="1"/>
  <c r="D25" i="3"/>
  <c r="E45" i="2"/>
  <c r="E35" i="2"/>
  <c r="D45" i="2"/>
  <c r="D35" i="2"/>
  <c r="I25" i="3"/>
  <c r="D78" i="5"/>
  <c r="E78" i="5" s="1"/>
  <c r="J24" i="3"/>
  <c r="I44" i="3"/>
  <c r="E31" i="5" s="1"/>
  <c r="D56" i="2"/>
  <c r="E56" i="2" s="1"/>
  <c r="B57" i="2"/>
  <c r="F56" i="2"/>
  <c r="E17" i="2"/>
  <c r="D71" i="2"/>
  <c r="I17" i="2"/>
  <c r="D17" i="2"/>
  <c r="D46" i="3"/>
  <c r="I45" i="3" l="1"/>
  <c r="C73" i="2"/>
  <c r="I10" i="1"/>
  <c r="E50" i="3" s="1"/>
  <c r="D50" i="3" s="1"/>
  <c r="J44" i="3"/>
  <c r="D31" i="5"/>
  <c r="D57" i="2"/>
  <c r="E57" i="2" s="1"/>
  <c r="F57" i="2"/>
  <c r="B58" i="2"/>
  <c r="C24" i="4" l="1"/>
  <c r="D60" i="3"/>
  <c r="D58" i="2"/>
  <c r="E58" i="2" s="1"/>
  <c r="F58" i="2"/>
  <c r="B59" i="2"/>
  <c r="D24" i="4" l="1"/>
  <c r="G24" i="4" s="1"/>
  <c r="G21" i="4"/>
  <c r="D49" i="3"/>
  <c r="D6" i="3"/>
  <c r="D7" i="3" s="1"/>
  <c r="D59" i="2"/>
  <c r="E59" i="2" s="1"/>
  <c r="B60" i="2"/>
  <c r="F59" i="2"/>
  <c r="G22" i="4" l="1"/>
  <c r="H16" i="1" s="1"/>
  <c r="E6" i="3"/>
  <c r="D60" i="2"/>
  <c r="E60" i="2" s="1"/>
  <c r="B61" i="2"/>
  <c r="F60" i="2"/>
  <c r="I7" i="3"/>
  <c r="I6" i="3"/>
  <c r="E23" i="4" l="1"/>
  <c r="J16" i="1"/>
  <c r="D61" i="2"/>
  <c r="E61" i="2" s="1"/>
  <c r="B62" i="2"/>
  <c r="F61" i="2"/>
  <c r="D62" i="2" l="1"/>
  <c r="E62" i="2" s="1"/>
  <c r="F62" i="2"/>
  <c r="B63" i="2"/>
  <c r="D63" i="2" l="1"/>
  <c r="E63" i="2" s="1"/>
  <c r="E64" i="2" s="1"/>
  <c r="F63" i="2"/>
  <c r="F65" i="2" s="1"/>
  <c r="D72" i="2" l="1"/>
  <c r="D68" i="2"/>
  <c r="D70" i="2"/>
  <c r="D73" i="2"/>
  <c r="D69" i="2" l="1"/>
  <c r="C7" i="4" l="1"/>
  <c r="J10" i="1"/>
  <c r="G11" i="4" l="1"/>
  <c r="E16" i="1"/>
  <c r="F16" i="1" s="1"/>
  <c r="G12" i="4" l="1"/>
  <c r="G15" i="4" s="1"/>
  <c r="D7" i="5"/>
  <c r="E7" i="5" l="1"/>
  <c r="E11" i="5"/>
  <c r="D11" i="5" l="1"/>
  <c r="E25" i="5"/>
  <c r="D25" i="5" s="1"/>
  <c r="E80" i="5" s="1"/>
  <c r="D80" i="5" l="1"/>
  <c r="E12" i="5" s="1"/>
  <c r="D12" i="5" s="1"/>
  <c r="D13" i="5" s="1"/>
  <c r="E13" i="5" s="1"/>
  <c r="D11" i="1" s="1"/>
  <c r="D12" i="1" s="1"/>
  <c r="G16" i="4" l="1"/>
  <c r="C16" i="1"/>
  <c r="D16" i="4" l="1"/>
  <c r="D17" i="4" l="1"/>
  <c r="D18" i="4" s="1"/>
  <c r="E16" i="4"/>
  <c r="E17" i="4" s="1"/>
  <c r="E18" i="4" s="1"/>
  <c r="G17" i="4" l="1"/>
  <c r="G18" i="4" s="1"/>
  <c r="E28" i="4" l="1"/>
  <c r="J18" i="1"/>
  <c r="F18" i="1"/>
  <c r="F11" i="4" l="1"/>
  <c r="F8" i="4" s="1"/>
  <c r="F18" i="4"/>
  <c r="F29" i="4" s="1"/>
  <c r="G31" i="4" l="1"/>
  <c r="C38" i="4"/>
  <c r="G29" i="4"/>
  <c r="C34" i="4" s="1"/>
  <c r="G30" i="4"/>
  <c r="E34" i="4" s="1"/>
  <c r="F14" i="1" s="1"/>
  <c r="C37" i="4" l="1"/>
  <c r="D14" i="1"/>
  <c r="D34" i="4"/>
  <c r="F38" i="4"/>
  <c r="F37" i="4" l="1"/>
  <c r="H14" i="1"/>
  <c r="B17" i="1" l="1"/>
  <c r="D17" i="1" s="1"/>
  <c r="D18" i="1"/>
  <c r="D16" i="1"/>
  <c r="D11" i="4"/>
  <c r="D10" i="4" s="1"/>
  <c r="E38" i="4"/>
  <c r="E37" i="4"/>
  <c r="C11" i="4"/>
  <c r="C10" i="4" s="1"/>
  <c r="F17" i="1" l="1"/>
  <c r="J17" i="1"/>
  <c r="D8" i="4"/>
  <c r="E9" i="4"/>
  <c r="C8" i="4"/>
  <c r="D9" i="4"/>
</calcChain>
</file>

<file path=xl/sharedStrings.xml><?xml version="1.0" encoding="utf-8"?>
<sst xmlns="http://schemas.openxmlformats.org/spreadsheetml/2006/main" count="435" uniqueCount="367">
  <si>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</si>
  <si>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</si>
  <si>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</si>
  <si>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</si>
  <si>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</si>
  <si>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</si>
  <si>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</si>
  <si>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</si>
  <si>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</si>
  <si>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</si>
  <si>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</si>
  <si>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</si>
  <si>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</si>
  <si>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</si>
  <si>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Nominal Default-free Rate</t>
  </si>
  <si>
    <t>CN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</si>
  <si>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</si>
  <si>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</si>
  <si>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</si>
  <si>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</si>
  <si>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</si>
  <si>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</si>
  <si>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</si>
  <si>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</si>
  <si>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</si>
  <si>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</si>
  <si>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</si>
  <si>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</si>
  <si>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</si>
  <si>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</si>
  <si>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</si>
  <si>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</si>
  <si>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</si>
  <si>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</si>
  <si>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</si>
  <si>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</si>
  <si>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</si>
  <si>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</si>
  <si>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</si>
  <si>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</si>
  <si>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</si>
  <si>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</si>
  <si>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</si>
  <si>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</si>
  <si>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</si>
  <si>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</si>
  <si>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</si>
  <si>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</si>
  <si>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</si>
  <si>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</si>
  <si>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</si>
  <si>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</si>
  <si>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</si>
  <si>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</si>
  <si>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</si>
  <si>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</si>
  <si>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</si>
  <si>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</si>
  <si>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</si>
  <si>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Net Profit Margin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</si>
  <si>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</si>
  <si>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</si>
  <si>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</si>
  <si>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</si>
  <si>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</si>
  <si>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</si>
  <si>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</si>
  <si>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</si>
  <si>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</si>
  <si>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</si>
  <si>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</si>
  <si>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Δ Net PP&amp;E +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</si>
  <si>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</si>
  <si>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</si>
  <si>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</si>
  <si>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</si>
  <si>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</si>
  <si>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</si>
  <si>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</si>
  <si>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</si>
  <si>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</si>
  <si>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</si>
  <si>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</si>
  <si>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</si>
  <si>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</si>
  <si>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</si>
  <si>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</si>
  <si>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</si>
  <si>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</si>
  <si>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</si>
  <si>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</si>
  <si>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</si>
  <si>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</si>
  <si>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</si>
  <si>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</si>
  <si>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</si>
  <si>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</si>
  <si>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</si>
  <si>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</si>
  <si>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</si>
  <si>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</si>
  <si>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</si>
  <si>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</si>
  <si>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</si>
  <si>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</si>
  <si>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</si>
  <si>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</si>
  <si>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</si>
  <si>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</si>
  <si>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</si>
  <si>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</si>
  <si>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NAVPS =</t>
  </si>
  <si>
    <t>Discount</t>
  </si>
  <si>
    <t>Quickly Realizable Values =</t>
  </si>
  <si>
    <t xml:space="preserve">PE = </t>
  </si>
  <si>
    <t>Realizable Value per Shares (VPS) =</t>
  </si>
  <si>
    <t xml:space="preserve">PB = 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</si>
  <si>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</si>
  <si>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</si>
  <si>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</si>
  <si>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</si>
  <si>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</si>
  <si>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</si>
  <si>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</si>
  <si>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</si>
  <si>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</si>
  <si>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</si>
  <si>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</si>
  <si>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</si>
  <si>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</si>
  <si>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</si>
  <si>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</si>
  <si>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</si>
  <si>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</si>
  <si>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</si>
  <si>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</si>
  <si>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</si>
  <si>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</si>
  <si>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</si>
  <si>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</si>
  <si>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</si>
  <si>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</si>
  <si>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</si>
  <si>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</si>
  <si>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</si>
  <si>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</si>
  <si>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</si>
  <si>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</si>
  <si>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</si>
  <si>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</si>
  <si>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</si>
  <si>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</si>
  <si>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</si>
  <si>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</si>
  <si>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PP&amp;E &amp; Related Deposits</t>
  </si>
  <si>
    <t>Right-of-use assets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</si>
  <si>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</si>
  <si>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</si>
  <si>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</si>
  <si>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</si>
  <si>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</si>
  <si>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</si>
  <si>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</si>
  <si>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</si>
  <si>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</si>
  <si>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</si>
  <si>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</si>
  <si>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</si>
  <si>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</si>
  <si>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</si>
  <si>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</si>
  <si>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</si>
  <si>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</si>
  <si>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</si>
  <si>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</si>
  <si>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</si>
  <si>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</si>
  <si>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</si>
  <si>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</si>
  <si>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</si>
  <si>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</si>
  <si>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</si>
  <si>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</si>
  <si>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</si>
  <si>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</si>
  <si>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</si>
  <si>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</si>
  <si>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</si>
  <si>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PART I: Complexity of the business</t>
  </si>
  <si>
    <t>1. Does the company have a non-cyclical business and a consistent earnings history?</t>
  </si>
  <si>
    <t>unclear</t>
  </si>
  <si>
    <t>2. Does the company have simple revenue and expense structure to understand?</t>
  </si>
  <si>
    <t>agree</t>
  </si>
  <si>
    <t>3. Does the company have simple assets base to value?</t>
  </si>
  <si>
    <r>
      <t xml:space="preserve">⇒ </t>
    </r>
    <r>
      <rPr>
        <b/>
        <i/>
        <u/>
        <sz val="11"/>
        <color rgb="FF000000"/>
        <rFont val="Times New Roman"/>
        <family val="1"/>
      </rPr>
      <t>Complexity rating</t>
    </r>
  </si>
  <si>
    <t>PART II: Valuation Error</t>
  </si>
  <si>
    <r>
      <t xml:space="preserve">1. </t>
    </r>
    <r>
      <rPr>
        <b/>
        <sz val="11"/>
        <color rgb="FF000000"/>
        <rFont val="Times New Roman"/>
        <family val="1"/>
      </rPr>
      <t xml:space="preserve">Reputation: </t>
    </r>
    <r>
      <rPr>
        <sz val="11"/>
        <color rgb="FF000000"/>
        <rFont val="Times New Roman"/>
        <family val="1"/>
      </rPr>
      <t>Does the company and management have good reputation?</t>
    </r>
  </si>
  <si>
    <r>
      <t xml:space="preserve">2. </t>
    </r>
    <r>
      <rPr>
        <b/>
        <sz val="11"/>
        <color rgb="FF000000"/>
        <rFont val="Times New Roman"/>
        <family val="1"/>
      </rPr>
      <t>Complexity:</t>
    </r>
    <r>
      <rPr>
        <sz val="11"/>
        <color rgb="FF000000"/>
        <rFont val="Times New Roman"/>
        <family val="1"/>
      </rPr>
      <t xml:space="preserve"> Does the company have a consistent operating and earning and dividend history?</t>
    </r>
  </si>
  <si>
    <r>
      <t xml:space="preserve">3. </t>
    </r>
    <r>
      <rPr>
        <b/>
        <sz val="11"/>
        <color rgb="FF000000"/>
        <rFont val="Times New Roman"/>
        <family val="1"/>
      </rPr>
      <t>Business Quality:</t>
    </r>
    <r>
      <rPr>
        <sz val="11"/>
        <color rgb="FF000000"/>
        <rFont val="Times New Roman"/>
        <family val="1"/>
      </rPr>
      <t xml:space="preserve"> Does the company have a potent and a consistent earnings history?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</si>
  <si>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</si>
  <si>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Company life cycle Analysis</t>
  </si>
  <si>
    <t># inspired by "Cash Flow Patterns as a Proxy for Firm Life Cycle" (V. Dickinson, 2011)</t>
  </si>
  <si>
    <r>
      <rPr>
        <b/>
        <i/>
        <sz val="11"/>
        <color rgb="FF000000"/>
        <rFont val="Times New Roman"/>
        <family val="1"/>
      </rPr>
      <t xml:space="preserve">⇒ </t>
    </r>
    <r>
      <rPr>
        <b/>
        <i/>
        <u/>
        <sz val="11"/>
        <color rgb="FF000000"/>
        <rFont val="Times New Roman"/>
        <family val="1"/>
      </rPr>
      <t>Default Terminal Value Yield</t>
    </r>
  </si>
  <si>
    <r>
      <t xml:space="preserve">1. </t>
    </r>
    <r>
      <rPr>
        <b/>
        <sz val="11"/>
        <color rgb="FF000000"/>
        <rFont val="Times New Roman"/>
        <family val="1"/>
      </rPr>
      <t>Cashflow from operation</t>
    </r>
  </si>
  <si>
    <t>(-) Low/Decreasing CFO</t>
  </si>
  <si>
    <r>
      <t xml:space="preserve">2. </t>
    </r>
    <r>
      <rPr>
        <b/>
        <sz val="11"/>
        <color rgb="FF000000"/>
        <rFont val="Times New Roman"/>
        <family val="1"/>
      </rPr>
      <t>Cashflow from investment</t>
    </r>
  </si>
  <si>
    <t>(-) Low/Decreasing CFI</t>
  </si>
  <si>
    <r>
      <t xml:space="preserve">3. </t>
    </r>
    <r>
      <rPr>
        <b/>
        <sz val="11"/>
        <color rgb="FF000000"/>
        <rFont val="Times New Roman"/>
        <family val="1"/>
      </rPr>
      <t>Cashflow from financing</t>
    </r>
  </si>
  <si>
    <t>(+) Rapidly Increasing CFF</t>
  </si>
  <si>
    <r>
      <rPr>
        <b/>
        <i/>
        <sz val="11"/>
        <color rgb="FF000000"/>
        <rFont val="Times New Roman"/>
        <family val="1"/>
      </rPr>
      <t xml:space="preserve">⇒ </t>
    </r>
    <r>
      <rPr>
        <b/>
        <i/>
        <u/>
        <sz val="11"/>
        <color rgb="FF000000"/>
        <rFont val="Times New Roman"/>
        <family val="1"/>
      </rPr>
      <t>Likely stage in the company life cycle</t>
    </r>
  </si>
  <si>
    <r>
      <rPr>
        <b/>
        <i/>
        <sz val="11"/>
        <color rgb="FF000000"/>
        <rFont val="Times New Roman"/>
        <family val="1"/>
      </rPr>
      <t xml:space="preserve">⇒ </t>
    </r>
    <r>
      <rPr>
        <b/>
        <i/>
        <u/>
        <sz val="11"/>
        <color rgb="FF000000"/>
        <rFont val="Times New Roman"/>
        <family val="1"/>
      </rPr>
      <t>Terminal Value Yield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</si>
  <si>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</si>
  <si>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</si>
  <si>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</si>
  <si>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</si>
  <si>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</si>
  <si>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</si>
  <si>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</si>
  <si>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</si>
  <si>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</si>
  <si>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</si>
  <si>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</si>
  <si>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</si>
  <si>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</si>
  <si>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</si>
  <si>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</si>
  <si>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</si>
  <si>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</si>
  <si>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3. Has management resisted the temptation to grow quickly by merger?</t>
  </si>
  <si>
    <t>4. Have the managers been buying the stock? Has the company resist buying back stock opportunistically?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</si>
  <si>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</si>
  <si>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</si>
  <si>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</si>
  <si>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</si>
  <si>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</si>
  <si>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2. There is no network effect and equal access to distribution channels.</t>
  </si>
  <si>
    <t>3. There is low customer switching cost.</t>
  </si>
  <si>
    <t>4. There are low capital requirements.</t>
  </si>
  <si>
    <t xml:space="preserve">5. There is no incumbency advantages independent of size. (like management skill etc) 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</si>
  <si>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</si>
  <si>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</si>
  <si>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</si>
  <si>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</si>
  <si>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</si>
  <si>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</si>
  <si>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</si>
  <si>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</si>
  <si>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</si>
  <si>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</si>
  <si>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</si>
  <si>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</si>
  <si>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</si>
  <si>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</si>
  <si>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</si>
  <si>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</si>
  <si>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</si>
  <si>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4. The company have a negative ESG value.</t>
  </si>
  <si>
    <t>5. There is no restrictive government policy</t>
  </si>
  <si>
    <t>6. How long is the industry average asset life?</t>
  </si>
  <si>
    <t>Consumer Staples, 15.1y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</si>
  <si>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</si>
  <si>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</si>
  <si>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</si>
  <si>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</si>
  <si>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</si>
  <si>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</si>
  <si>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</si>
  <si>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</si>
  <si>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</si>
  <si>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</si>
  <si>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</si>
  <si>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</si>
  <si>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</si>
  <si>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</si>
  <si>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</si>
  <si>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</si>
  <si>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</si>
  <si>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</si>
  <si>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</si>
  <si>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</si>
  <si>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</si>
  <si>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</si>
  <si>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1. Does the company have a consistent operating and earning history?</t>
  </si>
  <si>
    <t>6. There is little "real" brand barriers. (better than industry or like the food industry)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</si>
  <si>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</si>
  <si>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</si>
  <si>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</si>
  <si>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</si>
  <si>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</si>
  <si>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</si>
  <si>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</si>
  <si>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</si>
  <si>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</si>
  <si>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Investor's Cash Inflow</t>
  </si>
  <si>
    <t>PV of Investor Cash Inflow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</si>
  <si>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</si>
  <si>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</si>
  <si>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</si>
  <si>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</si>
  <si>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</si>
  <si>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</si>
  <si>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</si>
  <si>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</si>
  <si>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</si>
  <si>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</si>
  <si>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</si>
  <si>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ERP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</si>
  <si>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</si>
  <si>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</si>
  <si>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</si>
  <si>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</si>
  <si>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</si>
  <si>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</si>
  <si>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</si>
  <si>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</si>
  <si>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</si>
  <si>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</si>
  <si>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</si>
  <si>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</si>
  <si>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</si>
  <si>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</si>
  <si>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</si>
  <si>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</si>
  <si>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</si>
  <si>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EBIT Growth rate</t>
  </si>
  <si>
    <t>Operating Income Projections</t>
  </si>
  <si>
    <t>MOS</t>
  </si>
  <si>
    <t>低估值的香港龙头房地产开发商</t>
  </si>
  <si>
    <t>ROIC</t>
  </si>
  <si>
    <t>%</t>
  </si>
  <si>
    <t>Adj. Rf + ERP = Discount Rate</t>
  </si>
  <si>
    <t>Cheap given Risk</t>
  </si>
  <si>
    <t>Reasonable given Risk</t>
  </si>
  <si>
    <t>Reasonable Market Price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</si>
  <si>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</si>
  <si>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</si>
  <si>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</si>
  <si>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</si>
  <si>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</si>
  <si>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</si>
  <si>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</si>
  <si>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</si>
  <si>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</si>
  <si>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</si>
  <si>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0083.HK</t>
  </si>
  <si>
    <t>SINO LAND</t>
  </si>
  <si>
    <t>1. 93%收入来自香港地区，物业价值长期可靠
2. Property value is likely to exceed inflation in the long run especially after a debt crisis and the future monetary easing</t>
  </si>
  <si>
    <t>1. Strong balance sheet that's able to withstand averse market condition
2. Market price is low compared to the realizable assets</t>
  </si>
  <si>
    <t>1. 72%收入来自物业销售，22年楼市差，实质比例更高
2. 物业销售业绩波动较大，难以预测</t>
  </si>
  <si>
    <t>1. The room for profitable reinvestment is small
2. Organic growth rate will be low</t>
  </si>
  <si>
    <t>物業銷售</t>
  </si>
  <si>
    <t>物業管理及其他服務</t>
  </si>
  <si>
    <t>酒店經營</t>
  </si>
  <si>
    <t>經營租賃之租金收益</t>
  </si>
  <si>
    <t>Dividend</t>
  </si>
  <si>
    <t>22年底香港物业价格下跌，开关后持续回暖</t>
  </si>
  <si>
    <t>物業管理及其他服務 比较稳定</t>
  </si>
  <si>
    <t>經營租賃之租金收益 比较稳定</t>
  </si>
  <si>
    <t>酒店經營 宏观背景及业绩明显在好转</t>
  </si>
  <si>
    <t>Base Year</t>
  </si>
  <si>
    <t>https://edgeinvestments.org/blog/peter-lynch-stock-categories</t>
  </si>
  <si>
    <t>Slow Growers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</si>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</sst>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\ &quot;Years&quot;"/>
    <numFmt numFmtId="174" formatCode="0.00&quot;x&quot;"/>
    <numFmt numFmtId="175" formatCode="&quot;Past &quot;0&quot; yrs Avg. NOPAT&quot;"/>
    <numFmt numFmtId="176" formatCode="&quot;Total &quot;0%"/>
    <numFmt numFmtId="177" formatCode="#,##0;[Red]\(#,##0\);\-"/>
    <numFmt numFmtId="178" formatCode="&quot;Current Price = &quot;0.00"/>
    <numFmt numFmtId="179" formatCode="yyyy\-mm\-dd;@"/>
    <numFmt numFmtId="180" formatCode="_(* #,##0_);_(* \(#,##0\);_(* &quot;-&quot;??_);_(@_)"/>
    <numFmt numFmtId="181" formatCode="&quot;Discount rate = &quot;0.00%"/>
    <numFmt numFmtId="182" formatCode="#,##0.00;[Red]#,##0.00"/>
    <numFmt numFmtId="183" formatCode="&quot;in&quot;\ 0\ &quot;Months&quot;"/>
    <numFmt numFmtId="184" formatCode="&quot;Breakeven Price = &quot;0.00"/>
    <numFmt numFmtId="185" formatCode="&quot;Ideal Price = &quot;0.00"/>
  </numFmts>
  <fonts count="30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</fills>
  <borders count="10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indexed="64"/>
      </right>
      <top/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indexed="64"/>
      </top>
      <bottom/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indexed="64"/>
      </bottom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</borders>
  <cellStyleXfs count="3">
    <xf numFmtId="0" fontId="0" fillId="0" borderId="0"/>
    <xf numFmtId="43" fontId="27" fillId="0" borderId="0" applyFont="0" applyFill="0" applyBorder="0" applyAlignment="0" applyProtection="0"/>
    <xf numFmtId="0" fontId="29" fillId="0" borderId="0" applyNumberFormat="0" applyFill="0" applyBorder="0" applyAlignment="0" applyProtection="0"/>
  </cellStyleXfs>
  <cellXfs count="45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8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5" fillId="8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6" fillId="0" borderId="2" xfId="0" applyFont="1" applyBorder="1"/>
    <xf numFmtId="0" fontId="15" fillId="9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9" borderId="9" xfId="0" applyFont="1" applyFill="1" applyBorder="1"/>
    <xf numFmtId="167" fontId="1" fillId="0" borderId="13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5" fillId="9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11" borderId="13" xfId="0" applyFont="1" applyFill="1" applyBorder="1" applyAlignment="1">
      <alignment horizontal="center"/>
    </xf>
    <xf numFmtId="4" fontId="2" fillId="11" borderId="21" xfId="0" applyNumberFormat="1" applyFont="1" applyFill="1" applyBorder="1" applyAlignment="1">
      <alignment horizontal="right"/>
    </xf>
    <xf numFmtId="0" fontId="2" fillId="11" borderId="22" xfId="0" applyFont="1" applyFill="1" applyBorder="1" applyAlignment="1">
      <alignment horizontal="left"/>
    </xf>
    <xf numFmtId="6" fontId="2" fillId="11" borderId="2" xfId="0" applyNumberFormat="1" applyFont="1" applyFill="1" applyBorder="1" applyAlignment="1">
      <alignment horizontal="center"/>
    </xf>
    <xf numFmtId="3" fontId="2" fillId="11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7" fillId="0" borderId="0" xfId="0" applyFont="1"/>
    <xf numFmtId="0" fontId="10" fillId="0" borderId="0" xfId="0" applyFont="1"/>
    <xf numFmtId="0" fontId="3" fillId="8" borderId="9" xfId="0" applyFont="1" applyFill="1" applyBorder="1"/>
    <xf numFmtId="0" fontId="10" fillId="0" borderId="2" xfId="0" applyFont="1" applyBorder="1"/>
    <xf numFmtId="175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8" fillId="2" borderId="4" xfId="0" applyNumberFormat="1" applyFont="1" applyFill="1" applyBorder="1" applyAlignment="1">
      <alignment horizontal="center"/>
    </xf>
    <xf numFmtId="2" fontId="18" fillId="2" borderId="9" xfId="0" applyNumberFormat="1" applyFont="1" applyFill="1" applyBorder="1" applyAlignment="1">
      <alignment horizontal="center"/>
    </xf>
    <xf numFmtId="2" fontId="18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8" fillId="2" borderId="4" xfId="0" applyFont="1" applyFill="1" applyBorder="1"/>
    <xf numFmtId="0" fontId="18" fillId="2" borderId="9" xfId="0" applyFont="1" applyFill="1" applyBorder="1" applyAlignment="1">
      <alignment horizontal="center"/>
    </xf>
    <xf numFmtId="0" fontId="20" fillId="0" borderId="0" xfId="0" applyFont="1"/>
    <xf numFmtId="0" fontId="20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4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7" borderId="9" xfId="0" applyFont="1" applyFill="1" applyBorder="1"/>
    <xf numFmtId="3" fontId="2" fillId="10" borderId="13" xfId="0" applyNumberFormat="1" applyFont="1" applyFill="1" applyBorder="1"/>
    <xf numFmtId="10" fontId="2" fillId="10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10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10" borderId="20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right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1" fillId="4" borderId="17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10" fontId="1" fillId="0" borderId="9" xfId="0" applyNumberFormat="1" applyFont="1" applyBorder="1" applyAlignment="1">
      <alignment horizontal="center"/>
    </xf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10" fontId="5" fillId="0" borderId="11" xfId="0" applyNumberFormat="1" applyFont="1" applyBorder="1" applyAlignment="1">
      <alignment horizontal="center"/>
    </xf>
    <xf numFmtId="174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21" fillId="0" borderId="9" xfId="0" applyFont="1" applyBorder="1"/>
    <xf numFmtId="0" fontId="15" fillId="0" borderId="9" xfId="0" applyFont="1" applyBorder="1"/>
    <xf numFmtId="0" fontId="22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3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4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3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4" borderId="9" xfId="0" applyFont="1" applyFill="1" applyBorder="1"/>
    <xf numFmtId="0" fontId="1" fillId="14" borderId="2" xfId="0" applyFont="1" applyFill="1" applyBorder="1"/>
    <xf numFmtId="3" fontId="1" fillId="4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2" fillId="11" borderId="15" xfId="0" applyNumberFormat="1" applyFont="1" applyFill="1" applyBorder="1" applyAlignment="1">
      <alignment horizontal="center"/>
    </xf>
    <xf numFmtId="10" fontId="5" fillId="15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8" fontId="15" fillId="0" borderId="9" xfId="0" applyNumberFormat="1" applyFont="1" applyBorder="1" applyAlignment="1">
      <alignment horizontal="center"/>
    </xf>
    <xf numFmtId="0" fontId="5" fillId="9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11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11" borderId="13" xfId="0" applyNumberFormat="1" applyFont="1" applyFill="1" applyBorder="1" applyAlignment="1">
      <alignment horizontal="right"/>
    </xf>
    <xf numFmtId="0" fontId="26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11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10" borderId="53" xfId="0" applyFont="1" applyFill="1" applyBorder="1" applyAlignment="1">
      <alignment horizontal="center"/>
    </xf>
    <xf numFmtId="0" fontId="2" fillId="11" borderId="17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9" fontId="2" fillId="11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80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6" borderId="54" xfId="0" applyNumberFormat="1" applyFont="1" applyFill="1" applyBorder="1" applyAlignment="1">
      <alignment horizontal="center"/>
    </xf>
    <xf numFmtId="10" fontId="1" fillId="16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0" fontId="22" fillId="0" borderId="9" xfId="0" applyFont="1" applyBorder="1"/>
    <xf numFmtId="3" fontId="2" fillId="10" borderId="42" xfId="0" applyNumberFormat="1" applyFont="1" applyFill="1" applyBorder="1" applyAlignment="1">
      <alignment horizontal="center"/>
    </xf>
    <xf numFmtId="3" fontId="2" fillId="10" borderId="43" xfId="0" applyNumberFormat="1" applyFont="1" applyFill="1" applyBorder="1" applyAlignment="1">
      <alignment horizontal="center"/>
    </xf>
    <xf numFmtId="3" fontId="2" fillId="10" borderId="63" xfId="0" applyNumberFormat="1" applyFont="1" applyFill="1" applyBorder="1" applyAlignment="1">
      <alignment horizontal="center"/>
    </xf>
    <xf numFmtId="3" fontId="2" fillId="10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5" borderId="42" xfId="0" applyNumberFormat="1" applyFont="1" applyFill="1" applyBorder="1" applyAlignment="1">
      <alignment horizontal="center"/>
    </xf>
    <xf numFmtId="4" fontId="7" fillId="15" borderId="64" xfId="0" applyNumberFormat="1" applyFont="1" applyFill="1" applyBorder="1" applyAlignment="1">
      <alignment horizontal="center"/>
    </xf>
    <xf numFmtId="4" fontId="7" fillId="15" borderId="44" xfId="0" applyNumberFormat="1" applyFont="1" applyFill="1" applyBorder="1" applyAlignment="1">
      <alignment horizontal="center"/>
    </xf>
    <xf numFmtId="4" fontId="7" fillId="15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7" borderId="13" xfId="0" applyNumberFormat="1" applyFont="1" applyFill="1" applyBorder="1" applyAlignment="1">
      <alignment horizontal="right"/>
    </xf>
    <xf numFmtId="3" fontId="2" fillId="17" borderId="13" xfId="0" applyNumberFormat="1" applyFont="1" applyFill="1" applyBorder="1" applyAlignment="1">
      <alignment horizontal="center"/>
    </xf>
    <xf numFmtId="3" fontId="1" fillId="19" borderId="17" xfId="0" applyNumberFormat="1" applyFont="1" applyFill="1" applyBorder="1" applyAlignment="1">
      <alignment horizontal="center"/>
    </xf>
    <xf numFmtId="3" fontId="1" fillId="19" borderId="13" xfId="0" applyNumberFormat="1" applyFont="1" applyFill="1" applyBorder="1" applyAlignment="1">
      <alignment horizontal="center"/>
    </xf>
    <xf numFmtId="172" fontId="2" fillId="20" borderId="9" xfId="0" applyNumberFormat="1" applyFont="1" applyFill="1" applyBorder="1" applyAlignment="1">
      <alignment horizontal="left"/>
    </xf>
    <xf numFmtId="3" fontId="5" fillId="18" borderId="13" xfId="0" applyNumberFormat="1" applyFont="1" applyFill="1" applyBorder="1" applyAlignment="1">
      <alignment horizontal="center"/>
    </xf>
    <xf numFmtId="3" fontId="1" fillId="18" borderId="20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5" fillId="18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8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2" borderId="17" xfId="0" applyNumberFormat="1" applyFont="1" applyFill="1" applyBorder="1" applyAlignment="1">
      <alignment horizontal="center"/>
    </xf>
    <xf numFmtId="10" fontId="7" fillId="12" borderId="13" xfId="0" applyNumberFormat="1" applyFont="1" applyFill="1" applyBorder="1" applyAlignment="1">
      <alignment horizontal="center"/>
    </xf>
    <xf numFmtId="10" fontId="2" fillId="21" borderId="20" xfId="0" applyNumberFormat="1" applyFont="1" applyFill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3" borderId="61" xfId="0" applyFont="1" applyFill="1" applyBorder="1" applyAlignment="1">
      <alignment horizontal="center"/>
    </xf>
    <xf numFmtId="3" fontId="1" fillId="4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4" borderId="36" xfId="0" applyNumberFormat="1" applyFont="1" applyFill="1" applyBorder="1" applyAlignment="1">
      <alignment horizontal="center"/>
    </xf>
    <xf numFmtId="4" fontId="1" fillId="4" borderId="37" xfId="0" applyNumberFormat="1" applyFont="1" applyFill="1" applyBorder="1" applyAlignment="1">
      <alignment horizontal="center"/>
    </xf>
    <xf numFmtId="4" fontId="5" fillId="15" borderId="42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10" fontId="1" fillId="12" borderId="9" xfId="0" applyNumberFormat="1" applyFont="1" applyFill="1" applyBorder="1" applyAlignment="1">
      <alignment horizontal="center"/>
    </xf>
    <xf numFmtId="3" fontId="1" fillId="13" borderId="34" xfId="0" applyNumberFormat="1" applyFont="1" applyFill="1" applyBorder="1" applyAlignment="1">
      <alignment horizontal="center"/>
    </xf>
    <xf numFmtId="3" fontId="1" fillId="4" borderId="70" xfId="0" applyNumberFormat="1" applyFont="1" applyFill="1" applyBorder="1" applyAlignment="1">
      <alignment horizontal="center"/>
    </xf>
    <xf numFmtId="3" fontId="1" fillId="4" borderId="72" xfId="0" applyNumberFormat="1" applyFont="1" applyFill="1" applyBorder="1" applyAlignment="1">
      <alignment horizontal="center"/>
    </xf>
    <xf numFmtId="174" fontId="5" fillId="0" borderId="42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10" fontId="1" fillId="0" borderId="74" xfId="0" applyNumberFormat="1" applyFont="1" applyBorder="1" applyAlignment="1">
      <alignment horizontal="center"/>
    </xf>
    <xf numFmtId="174" fontId="5" fillId="0" borderId="44" xfId="0" applyNumberFormat="1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4" fontId="7" fillId="0" borderId="9" xfId="0" applyNumberFormat="1" applyFont="1" applyBorder="1" applyAlignment="1">
      <alignment horizontal="center"/>
    </xf>
    <xf numFmtId="0" fontId="18" fillId="0" borderId="0" xfId="0" applyFont="1" applyAlignment="1">
      <alignment horizontal="center"/>
    </xf>
    <xf numFmtId="10" fontId="2" fillId="10" borderId="16" xfId="0" applyNumberFormat="1" applyFont="1" applyFill="1" applyBorder="1" applyAlignment="1">
      <alignment horizontal="center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166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2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10" borderId="16" xfId="0" applyNumberFormat="1" applyFont="1" applyFill="1" applyBorder="1" applyAlignment="1">
      <alignment horizontal="center"/>
    </xf>
    <xf numFmtId="3" fontId="2" fillId="10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7" borderId="13" xfId="0" applyNumberFormat="1" applyFont="1" applyFill="1" applyBorder="1" applyAlignment="1">
      <alignment horizontal="center"/>
    </xf>
    <xf numFmtId="38" fontId="2" fillId="17" borderId="20" xfId="0" applyNumberFormat="1" applyFont="1" applyFill="1" applyBorder="1" applyAlignment="1">
      <alignment horizontal="center"/>
    </xf>
    <xf numFmtId="38" fontId="2" fillId="18" borderId="13" xfId="0" applyNumberFormat="1" applyFont="1" applyFill="1" applyBorder="1" applyAlignment="1">
      <alignment horizontal="center"/>
    </xf>
    <xf numFmtId="177" fontId="2" fillId="23" borderId="13" xfId="0" applyNumberFormat="1" applyFont="1" applyFill="1" applyBorder="1" applyAlignment="1">
      <alignment horizontal="center"/>
    </xf>
    <xf numFmtId="3" fontId="1" fillId="15" borderId="68" xfId="0" applyNumberFormat="1" applyFont="1" applyFill="1" applyBorder="1" applyAlignment="1">
      <alignment horizontal="center"/>
    </xf>
    <xf numFmtId="4" fontId="1" fillId="0" borderId="81" xfId="0" applyNumberFormat="1" applyFont="1" applyBorder="1" applyAlignment="1">
      <alignment horizontal="center"/>
    </xf>
    <xf numFmtId="4" fontId="1" fillId="4" borderId="81" xfId="0" applyNumberFormat="1" applyFont="1" applyFill="1" applyBorder="1" applyAlignment="1">
      <alignment horizontal="center"/>
    </xf>
    <xf numFmtId="10" fontId="2" fillId="17" borderId="43" xfId="0" applyNumberFormat="1" applyFont="1" applyFill="1" applyBorder="1" applyAlignment="1">
      <alignment horizontal="center"/>
    </xf>
    <xf numFmtId="3" fontId="1" fillId="0" borderId="82" xfId="0" applyNumberFormat="1" applyFont="1" applyBorder="1" applyAlignment="1">
      <alignment horizontal="center"/>
    </xf>
    <xf numFmtId="4" fontId="1" fillId="0" borderId="83" xfId="0" applyNumberFormat="1" applyFont="1" applyBorder="1" applyAlignment="1">
      <alignment horizontal="center"/>
    </xf>
    <xf numFmtId="4" fontId="1" fillId="15" borderId="65" xfId="0" applyNumberFormat="1" applyFont="1" applyFill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10" fontId="1" fillId="0" borderId="85" xfId="0" applyNumberFormat="1" applyFont="1" applyBorder="1" applyAlignment="1">
      <alignment horizontal="center"/>
    </xf>
    <xf numFmtId="4" fontId="1" fillId="0" borderId="8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2" borderId="63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4" fontId="1" fillId="22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7" fillId="0" borderId="20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10" fontId="1" fillId="0" borderId="71" xfId="0" applyNumberFormat="1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11" borderId="79" xfId="0" applyNumberFormat="1" applyFont="1" applyFill="1" applyBorder="1" applyAlignment="1">
      <alignment horizontal="center"/>
    </xf>
    <xf numFmtId="3" fontId="1" fillId="0" borderId="79" xfId="0" applyNumberFormat="1" applyFont="1" applyBorder="1" applyAlignment="1">
      <alignment horizontal="center"/>
    </xf>
    <xf numFmtId="3" fontId="1" fillId="0" borderId="87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11" borderId="84" xfId="0" applyNumberFormat="1" applyFont="1" applyFill="1" applyBorder="1" applyAlignment="1">
      <alignment horizontal="center"/>
    </xf>
    <xf numFmtId="3" fontId="11" fillId="11" borderId="79" xfId="0" applyNumberFormat="1" applyFont="1" applyFill="1" applyBorder="1" applyAlignment="1">
      <alignment horizontal="right"/>
    </xf>
    <xf numFmtId="0" fontId="19" fillId="0" borderId="88" xfId="0" applyFont="1" applyBorder="1" applyAlignment="1">
      <alignment horizontal="center" wrapText="1"/>
    </xf>
    <xf numFmtId="3" fontId="1" fillId="15" borderId="13" xfId="0" applyNumberFormat="1" applyFont="1" applyFill="1" applyBorder="1" applyAlignment="1">
      <alignment horizontal="center"/>
    </xf>
    <xf numFmtId="3" fontId="1" fillId="15" borderId="79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9" xfId="0" applyNumberFormat="1" applyFont="1" applyBorder="1" applyAlignment="1">
      <alignment horizontal="center"/>
    </xf>
    <xf numFmtId="4" fontId="1" fillId="0" borderId="90" xfId="0" applyNumberFormat="1" applyFont="1" applyBorder="1" applyAlignment="1">
      <alignment horizontal="center"/>
    </xf>
    <xf numFmtId="4" fontId="3" fillId="4" borderId="91" xfId="0" applyNumberFormat="1" applyFont="1" applyFill="1" applyBorder="1" applyAlignment="1">
      <alignment horizontal="right"/>
    </xf>
    <xf numFmtId="4" fontId="3" fillId="0" borderId="92" xfId="0" applyNumberFormat="1" applyFont="1" applyBorder="1" applyAlignment="1">
      <alignment horizontal="right"/>
    </xf>
    <xf numFmtId="0" fontId="5" fillId="0" borderId="93" xfId="0" applyFont="1" applyBorder="1"/>
    <xf numFmtId="0" fontId="5" fillId="0" borderId="94" xfId="0" applyFont="1" applyBorder="1"/>
    <xf numFmtId="10" fontId="1" fillId="12" borderId="16" xfId="0" applyNumberFormat="1" applyFont="1" applyFill="1" applyBorder="1" applyAlignment="1">
      <alignment horizontal="center"/>
    </xf>
    <xf numFmtId="10" fontId="1" fillId="4" borderId="16" xfId="0" applyNumberFormat="1" applyFont="1" applyFill="1" applyBorder="1" applyAlignment="1">
      <alignment horizontal="center"/>
    </xf>
    <xf numFmtId="10" fontId="2" fillId="1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10" fontId="7" fillId="15" borderId="16" xfId="0" applyNumberFormat="1" applyFont="1" applyFill="1" applyBorder="1" applyAlignment="1">
      <alignment horizontal="center"/>
    </xf>
    <xf numFmtId="10" fontId="7" fillId="15" borderId="44" xfId="0" applyNumberFormat="1" applyFont="1" applyFill="1" applyBorder="1" applyAlignment="1">
      <alignment horizontal="center"/>
    </xf>
    <xf numFmtId="10" fontId="2" fillId="10" borderId="44" xfId="0" applyNumberFormat="1" applyFont="1" applyFill="1" applyBorder="1" applyAlignment="1">
      <alignment horizontal="center"/>
    </xf>
    <xf numFmtId="0" fontId="15" fillId="24" borderId="9" xfId="0" applyFont="1" applyFill="1" applyBorder="1" applyAlignment="1">
      <alignment horizontal="center"/>
    </xf>
    <xf numFmtId="0" fontId="29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3" fontId="2" fillId="10" borderId="47" xfId="0" applyNumberFormat="1" applyFont="1" applyFill="1" applyBorder="1" applyAlignment="1">
      <alignment horizontal="center"/>
    </xf>
    <xf numFmtId="164" fontId="7" fillId="0" borderId="96" xfId="0" applyNumberFormat="1" applyFont="1" applyBorder="1" applyAlignment="1">
      <alignment horizontal="center"/>
    </xf>
    <xf numFmtId="179" fontId="2" fillId="10" borderId="55" xfId="0" applyNumberFormat="1" applyFont="1" applyFill="1" applyBorder="1" applyAlignment="1">
      <alignment horizontal="center"/>
    </xf>
    <xf numFmtId="3" fontId="11" fillId="17" borderId="13" xfId="0" quotePrefix="1" applyNumberFormat="1" applyFont="1" applyFill="1" applyBorder="1" applyAlignment="1">
      <alignment horizontal="right"/>
    </xf>
    <xf numFmtId="3" fontId="2" fillId="10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10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9" fontId="15" fillId="9" borderId="2" xfId="0" applyNumberFormat="1" applyFont="1" applyFill="1" applyBorder="1" applyAlignment="1">
      <alignment horizontal="center"/>
    </xf>
    <xf numFmtId="179" fontId="18" fillId="6" borderId="5" xfId="0" applyNumberFormat="1" applyFont="1" applyFill="1" applyBorder="1" applyAlignment="1">
      <alignment horizontal="center"/>
    </xf>
    <xf numFmtId="179" fontId="18" fillId="6" borderId="23" xfId="0" applyNumberFormat="1" applyFont="1" applyFill="1" applyBorder="1" applyAlignment="1">
      <alignment horizontal="center"/>
    </xf>
    <xf numFmtId="181" fontId="7" fillId="18" borderId="59" xfId="0" applyNumberFormat="1" applyFont="1" applyFill="1" applyBorder="1" applyAlignment="1">
      <alignment horizontal="center"/>
    </xf>
    <xf numFmtId="177" fontId="7" fillId="0" borderId="20" xfId="0" applyNumberFormat="1" applyFont="1" applyBorder="1" applyAlignment="1">
      <alignment horizontal="center"/>
    </xf>
    <xf numFmtId="3" fontId="7" fillId="0" borderId="20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10" fontId="1" fillId="12" borderId="97" xfId="0" applyNumberFormat="1" applyFont="1" applyFill="1" applyBorder="1" applyAlignment="1">
      <alignment horizontal="center"/>
    </xf>
    <xf numFmtId="4" fontId="2" fillId="10" borderId="76" xfId="0" applyNumberFormat="1" applyFont="1" applyFill="1" applyBorder="1" applyAlignment="1">
      <alignment horizontal="center"/>
    </xf>
    <xf numFmtId="4" fontId="2" fillId="17" borderId="76" xfId="0" applyNumberFormat="1" applyFont="1" applyFill="1" applyBorder="1" applyAlignment="1">
      <alignment horizontal="center"/>
    </xf>
    <xf numFmtId="10" fontId="7" fillId="15" borderId="13" xfId="0" applyNumberFormat="1" applyFont="1" applyFill="1" applyBorder="1" applyAlignment="1">
      <alignment horizontal="center"/>
    </xf>
    <xf numFmtId="10" fontId="7" fillId="4" borderId="13" xfId="0" applyNumberFormat="1" applyFont="1" applyFill="1" applyBorder="1" applyAlignment="1">
      <alignment horizontal="center"/>
    </xf>
    <xf numFmtId="10" fontId="7" fillId="4" borderId="70" xfId="0" applyNumberFormat="1" applyFont="1" applyFill="1" applyBorder="1" applyAlignment="1">
      <alignment horizontal="center"/>
    </xf>
    <xf numFmtId="3" fontId="7" fillId="15" borderId="68" xfId="0" applyNumberFormat="1" applyFont="1" applyFill="1" applyBorder="1" applyAlignment="1">
      <alignment horizontal="center"/>
    </xf>
    <xf numFmtId="3" fontId="7" fillId="4" borderId="68" xfId="0" applyNumberFormat="1" applyFont="1" applyFill="1" applyBorder="1" applyAlignment="1">
      <alignment horizontal="center"/>
    </xf>
    <xf numFmtId="3" fontId="7" fillId="22" borderId="73" xfId="0" applyNumberFormat="1" applyFont="1" applyFill="1" applyBorder="1" applyAlignment="1">
      <alignment horizontal="center"/>
    </xf>
    <xf numFmtId="10" fontId="7" fillId="4" borderId="16" xfId="0" applyNumberFormat="1" applyFont="1" applyFill="1" applyBorder="1" applyAlignment="1">
      <alignment horizontal="center"/>
    </xf>
    <xf numFmtId="10" fontId="7" fillId="4" borderId="95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79" fontId="15" fillId="9" borderId="98" xfId="0" applyNumberFormat="1" applyFont="1" applyFill="1" applyBorder="1" applyAlignment="1">
      <alignment horizontal="center"/>
    </xf>
    <xf numFmtId="9" fontId="2" fillId="0" borderId="99" xfId="0" applyNumberFormat="1" applyFont="1" applyBorder="1" applyAlignment="1">
      <alignment horizontal="center"/>
    </xf>
    <xf numFmtId="9" fontId="2" fillId="0" borderId="87" xfId="0" applyNumberFormat="1" applyFont="1" applyBorder="1" applyAlignment="1">
      <alignment horizontal="center"/>
    </xf>
    <xf numFmtId="3" fontId="5" fillId="0" borderId="79" xfId="0" applyNumberFormat="1" applyFont="1" applyBorder="1" applyAlignment="1">
      <alignment horizontal="center"/>
    </xf>
    <xf numFmtId="10" fontId="7" fillId="0" borderId="84" xfId="0" applyNumberFormat="1" applyFont="1" applyBorder="1" applyAlignment="1">
      <alignment horizontal="center"/>
    </xf>
    <xf numFmtId="3" fontId="1" fillId="0" borderId="80" xfId="0" applyNumberFormat="1" applyFont="1" applyBorder="1" applyAlignment="1">
      <alignment horizontal="center"/>
    </xf>
    <xf numFmtId="10" fontId="5" fillId="0" borderId="84" xfId="0" applyNumberFormat="1" applyFont="1" applyBorder="1" applyAlignment="1">
      <alignment horizontal="center"/>
    </xf>
    <xf numFmtId="10" fontId="5" fillId="0" borderId="79" xfId="0" applyNumberFormat="1" applyFont="1" applyBorder="1" applyAlignment="1">
      <alignment horizontal="center"/>
    </xf>
    <xf numFmtId="3" fontId="5" fillId="0" borderId="80" xfId="0" applyNumberFormat="1" applyFont="1" applyBorder="1" applyAlignment="1">
      <alignment horizontal="center"/>
    </xf>
    <xf numFmtId="10" fontId="7" fillId="0" borderId="79" xfId="0" applyNumberFormat="1" applyFont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185" fontId="4" fillId="10" borderId="11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4" fontId="28" fillId="0" borderId="9" xfId="0" applyNumberFormat="1" applyFont="1" applyBorder="1" applyAlignment="1">
      <alignment horizontal="center"/>
    </xf>
    <xf numFmtId="0" fontId="2" fillId="10" borderId="44" xfId="0" applyFont="1" applyFill="1" applyBorder="1" applyAlignment="1">
      <alignment horizontal="center"/>
    </xf>
    <xf numFmtId="0" fontId="15" fillId="0" borderId="0" xfId="0" applyFont="1"/>
    <xf numFmtId="0" fontId="2" fillId="11" borderId="26" xfId="0" applyFont="1" applyFill="1" applyBorder="1" applyAlignment="1">
      <alignment horizontal="center"/>
    </xf>
    <xf numFmtId="0" fontId="2" fillId="11" borderId="33" xfId="0" applyFont="1" applyFill="1" applyBorder="1" applyAlignment="1">
      <alignment horizontal="center"/>
    </xf>
    <xf numFmtId="0" fontId="2" fillId="11" borderId="13" xfId="0" applyFont="1" applyFill="1" applyBorder="1" applyAlignment="1">
      <alignment horizontal="left" vertical="center" wrapText="1"/>
    </xf>
    <xf numFmtId="0" fontId="7" fillId="10" borderId="13" xfId="0" applyFont="1" applyFill="1" applyBorder="1"/>
    <xf numFmtId="179" fontId="2" fillId="11" borderId="26" xfId="0" applyNumberFormat="1" applyFont="1" applyFill="1" applyBorder="1" applyAlignment="1">
      <alignment horizontal="center"/>
    </xf>
    <xf numFmtId="179" fontId="2" fillId="11" borderId="33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8" fontId="4" fillId="11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2" xfId="0" applyFont="1" applyBorder="1"/>
    <xf numFmtId="49" fontId="2" fillId="11" borderId="9" xfId="0" applyNumberFormat="1" applyFont="1" applyFill="1" applyBorder="1" applyAlignment="1">
      <alignment horizontal="center"/>
    </xf>
    <xf numFmtId="0" fontId="7" fillId="10" borderId="9" xfId="0" applyFont="1" applyFill="1" applyBorder="1"/>
    <xf numFmtId="0" fontId="2" fillId="11" borderId="16" xfId="0" applyFont="1" applyFill="1" applyBorder="1" applyAlignment="1">
      <alignment horizontal="center"/>
    </xf>
    <xf numFmtId="0" fontId="7" fillId="10" borderId="16" xfId="0" applyFont="1" applyFill="1" applyBorder="1"/>
    <xf numFmtId="164" fontId="2" fillId="11" borderId="16" xfId="0" applyNumberFormat="1" applyFont="1" applyFill="1" applyBorder="1" applyAlignment="1">
      <alignment horizontal="center"/>
    </xf>
    <xf numFmtId="179" fontId="2" fillId="11" borderId="17" xfId="0" applyNumberFormat="1" applyFont="1" applyFill="1" applyBorder="1" applyAlignment="1">
      <alignment horizontal="center"/>
    </xf>
    <xf numFmtId="179" fontId="7" fillId="10" borderId="17" xfId="0" applyNumberFormat="1" applyFont="1" applyFill="1" applyBorder="1"/>
    <xf numFmtId="0" fontId="13" fillId="11" borderId="101" xfId="0" applyFont="1" applyFill="1" applyBorder="1" applyAlignment="1">
      <alignment horizontal="center" vertical="center"/>
    </xf>
    <xf numFmtId="0" fontId="13" fillId="11" borderId="102" xfId="0" applyFont="1" applyFill="1" applyBorder="1" applyAlignment="1">
      <alignment horizontal="center" vertical="center"/>
    </xf>
    <xf numFmtId="0" fontId="13" fillId="11" borderId="103" xfId="0" applyFont="1" applyFill="1" applyBorder="1" applyAlignment="1">
      <alignment horizontal="center" vertical="center"/>
    </xf>
    <xf numFmtId="0" fontId="2" fillId="11" borderId="20" xfId="0" applyFont="1" applyFill="1" applyBorder="1" applyAlignment="1">
      <alignment horizontal="left" vertical="center" wrapText="1"/>
    </xf>
    <xf numFmtId="0" fontId="7" fillId="10" borderId="20" xfId="0" applyFont="1" applyFill="1" applyBorder="1"/>
    <xf numFmtId="0" fontId="2" fillId="11" borderId="38" xfId="0" applyFont="1" applyFill="1" applyBorder="1" applyAlignment="1">
      <alignment horizontal="center"/>
    </xf>
    <xf numFmtId="0" fontId="2" fillId="11" borderId="39" xfId="0" applyFont="1" applyFill="1" applyBorder="1" applyAlignment="1">
      <alignment horizontal="center"/>
    </xf>
    <xf numFmtId="3" fontId="2" fillId="11" borderId="21" xfId="0" applyNumberFormat="1" applyFont="1" applyFill="1" applyBorder="1" applyAlignment="1">
      <alignment horizontal="center"/>
    </xf>
    <xf numFmtId="3" fontId="2" fillId="11" borderId="22" xfId="0" applyNumberFormat="1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5" xfId="0" applyFont="1" applyBorder="1" applyAlignment="1">
      <alignment horizontal="center" vertical="center"/>
    </xf>
    <xf numFmtId="0" fontId="15" fillId="0" borderId="76" xfId="0" applyFont="1" applyBorder="1" applyAlignment="1">
      <alignment horizontal="center" vertical="center"/>
    </xf>
    <xf numFmtId="0" fontId="15" fillId="0" borderId="77" xfId="0" applyFont="1" applyBorder="1" applyAlignment="1">
      <alignment horizontal="center" vertic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176" fontId="1" fillId="0" borderId="13" xfId="0" applyNumberFormat="1" applyFont="1" applyBorder="1" applyAlignment="1">
      <alignment horizontal="center"/>
    </xf>
    <xf numFmtId="8" fontId="4" fillId="11" borderId="21" xfId="0" applyNumberFormat="1" applyFont="1" applyFill="1" applyBorder="1" applyAlignment="1">
      <alignment horizontal="center"/>
    </xf>
    <xf numFmtId="8" fontId="4" fillId="11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1" fillId="14" borderId="13" xfId="0" applyFont="1" applyFill="1" applyBorder="1"/>
    <xf numFmtId="0" fontId="1" fillId="14" borderId="20" xfId="0" applyFont="1" applyFill="1" applyBorder="1"/>
    <xf numFmtId="0" fontId="3" fillId="0" borderId="25" xfId="0" applyFont="1" applyBorder="1" applyAlignment="1">
      <alignment horizontal="center"/>
    </xf>
    <xf numFmtId="10" fontId="5" fillId="0" borderId="75" xfId="0" applyNumberFormat="1" applyFont="1" applyBorder="1" applyAlignment="1">
      <alignment horizontal="center" vertical="center"/>
    </xf>
    <xf numFmtId="10" fontId="5" fillId="0" borderId="76" xfId="0" applyNumberFormat="1" applyFont="1" applyBorder="1" applyAlignment="1">
      <alignment horizontal="center" vertical="center"/>
    </xf>
    <xf numFmtId="10" fontId="5" fillId="0" borderId="77" xfId="0" applyNumberFormat="1" applyFont="1" applyBorder="1" applyAlignment="1">
      <alignment horizontal="center" vertical="center"/>
    </xf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4" borderId="9" xfId="0" applyFont="1" applyFill="1" applyBorder="1"/>
    <xf numFmtId="0" fontId="7" fillId="14" borderId="9" xfId="0" applyFont="1" applyFill="1" applyBorder="1"/>
    <xf numFmtId="0" fontId="1" fillId="14" borderId="2" xfId="0" applyFont="1" applyFill="1" applyBorder="1"/>
    <xf numFmtId="0" fontId="7" fillId="14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3" fontId="2" fillId="11" borderId="13" xfId="0" applyNumberFormat="1" applyFont="1" applyFill="1" applyBorder="1" applyAlignment="1">
      <alignment horizontal="center"/>
    </xf>
    <xf numFmtId="0" fontId="2" fillId="11" borderId="13" xfId="0" applyFont="1" applyFill="1" applyBorder="1" applyAlignment="1">
      <alignment horizontal="center"/>
    </xf>
    <xf numFmtId="173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8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0" fontId="7" fillId="0" borderId="13" xfId="0" applyFont="1" applyBorder="1"/>
    <xf numFmtId="0" fontId="5" fillId="0" borderId="9" xfId="0" applyFont="1" applyBorder="1"/>
    <xf numFmtId="10" fontId="2" fillId="11" borderId="13" xfId="0" applyNumberFormat="1" applyFont="1" applyFill="1" applyBorder="1" applyAlignment="1">
      <alignment horizontal="center"/>
    </xf>
    <xf numFmtId="10" fontId="7" fillId="10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10" borderId="13" xfId="0" applyNumberFormat="1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24" borderId="9" xfId="0" applyFont="1" applyFill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5" xfId="0" applyNumberFormat="1" applyFont="1" applyBorder="1" applyAlignment="1">
      <alignment horizontal="center" vertical="center"/>
    </xf>
    <xf numFmtId="4" fontId="5" fillId="0" borderId="76" xfId="0" applyNumberFormat="1" applyFont="1" applyBorder="1" applyAlignment="1">
      <alignment horizontal="center" vertical="center"/>
    </xf>
    <xf numFmtId="4" fontId="5" fillId="0" borderId="77" xfId="0" applyNumberFormat="1" applyFont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14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opLeftCell="A13" zoomScaleNormal="100" workbookViewId="0">
      <selection activeCell="D17" sqref="D17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85" t="str">
        <f>C3&amp;" : "&amp;C4</f>
        <v>0083.HK : SINO LAND</v>
      </c>
      <c r="D2" s="386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87" t="s">
        <v>344</v>
      </c>
      <c r="D3" s="388"/>
      <c r="E3" s="15"/>
      <c r="G3" s="7" t="s">
        <v>2</v>
      </c>
      <c r="I3" s="399" t="s">
        <v>3</v>
      </c>
      <c r="J3" s="400"/>
    </row>
    <row r="4" spans="1:12" ht="15.75" customHeight="1" x14ac:dyDescent="0.3">
      <c r="B4" s="5" t="s">
        <v>4</v>
      </c>
      <c r="C4" s="389" t="s">
        <v>345</v>
      </c>
      <c r="D4" s="390"/>
      <c r="E4" s="6"/>
      <c r="G4" s="5" t="s">
        <v>5</v>
      </c>
      <c r="I4" s="34">
        <v>10.039999999999999</v>
      </c>
      <c r="J4" s="35" t="s">
        <v>6</v>
      </c>
      <c r="K4" s="186"/>
    </row>
    <row r="5" spans="1:12" ht="15.75" customHeight="1" x14ac:dyDescent="0.3">
      <c r="B5" s="5" t="s">
        <v>7</v>
      </c>
      <c r="C5" s="391">
        <v>44959</v>
      </c>
      <c r="D5" s="390"/>
      <c r="E5" s="151" t="str">
        <f ca="1">IF(C5+30&gt;=TODAY(),"Patience Premium","")</f>
        <v>Patience Premium</v>
      </c>
      <c r="G5" s="5" t="s">
        <v>8</v>
      </c>
      <c r="I5" s="401">
        <v>8061259776</v>
      </c>
      <c r="J5" s="402"/>
      <c r="K5" s="185"/>
      <c r="L5" s="110"/>
    </row>
    <row r="6" spans="1:12" ht="15.75" customHeight="1" x14ac:dyDescent="0.3">
      <c r="B6" s="12" t="s">
        <v>338</v>
      </c>
      <c r="C6" s="329">
        <v>8</v>
      </c>
      <c r="D6" s="330">
        <f>EOMONTH(EDATE(Asset_Model!D9,C6),0)</f>
        <v>45169</v>
      </c>
      <c r="E6" s="151"/>
      <c r="G6" s="164" t="s">
        <v>9</v>
      </c>
      <c r="H6" s="163"/>
      <c r="I6" s="403">
        <f>I4*I5/1000000</f>
        <v>80935.048151039999</v>
      </c>
      <c r="J6" s="404"/>
      <c r="K6" s="185"/>
    </row>
    <row r="7" spans="1:12" ht="15.75" customHeight="1" x14ac:dyDescent="0.3">
      <c r="B7" s="169" t="s">
        <v>10</v>
      </c>
      <c r="C7" s="175">
        <f>(Data!C39)/I4</f>
        <v>3.7730094313420892E-2</v>
      </c>
      <c r="D7" s="175">
        <f>(Data!C40)/I4</f>
        <v>0</v>
      </c>
      <c r="E7" s="187"/>
      <c r="F7" s="6"/>
    </row>
    <row r="8" spans="1:12" ht="15.75" customHeight="1" x14ac:dyDescent="0.3">
      <c r="C8" s="125"/>
      <c r="E8" s="6"/>
      <c r="G8" s="22" t="s">
        <v>11</v>
      </c>
      <c r="H8" s="162"/>
      <c r="I8" s="6"/>
      <c r="J8" s="6"/>
    </row>
    <row r="9" spans="1:12" ht="15.75" customHeight="1" x14ac:dyDescent="0.3">
      <c r="B9" s="22" t="s">
        <v>12</v>
      </c>
      <c r="D9" s="12"/>
      <c r="E9" s="5"/>
      <c r="G9" s="5" t="s">
        <v>13</v>
      </c>
      <c r="I9" s="150">
        <f>IF(Data!F3&lt;=0,"NNI",I4/((Data!F3*I12)/(I5/Data!C4)))</f>
        <v>14.111501307152984</v>
      </c>
      <c r="J9" s="50">
        <f>IF(I9="NNI","NNI",1/I9)</f>
        <v>7.0864182218025915E-2</v>
      </c>
    </row>
    <row r="10" spans="1:12" ht="15.75" customHeight="1" x14ac:dyDescent="0.3">
      <c r="B10" s="19" t="s">
        <v>14</v>
      </c>
      <c r="C10" s="177" t="s">
        <v>15</v>
      </c>
      <c r="D10" s="154">
        <v>2.9100000000000001E-2</v>
      </c>
      <c r="E10" s="5"/>
      <c r="G10" s="5" t="s">
        <v>16</v>
      </c>
      <c r="I10" s="168">
        <f>I4/(Data!C28*I12*Data!C4/Common_Shares)</f>
        <v>0.51150734690372379</v>
      </c>
      <c r="J10" s="160">
        <f>IF(Asset_Model!D60/'FCFF Model'!C4&lt;0,"Negative EV",Asset_Model!D60/'FCFF Model'!C4)</f>
        <v>2.8028701751985206</v>
      </c>
    </row>
    <row r="11" spans="1:12" ht="15.75" customHeight="1" x14ac:dyDescent="0.3">
      <c r="B11" s="19" t="s">
        <v>306</v>
      </c>
      <c r="C11" s="247">
        <v>0.1</v>
      </c>
      <c r="D11" s="321">
        <f ca="1">$C$11*(2-'Qualitative Analysis'!$E$13+IF($C$5+30&gt;=TODAY(),0.2,0))</f>
        <v>0.16444444444444445</v>
      </c>
      <c r="E11" s="13"/>
      <c r="G11" s="5" t="s">
        <v>17</v>
      </c>
      <c r="H11" s="6"/>
      <c r="I11" s="372" t="s">
        <v>6</v>
      </c>
      <c r="J11" s="373"/>
    </row>
    <row r="12" spans="1:12" ht="15.75" customHeight="1" x14ac:dyDescent="0.3">
      <c r="B12" s="100" t="s">
        <v>330</v>
      </c>
      <c r="C12" s="323">
        <v>2.9100000000000001E-2</v>
      </c>
      <c r="D12" s="322">
        <f ca="1">D11+C12</f>
        <v>0.19354444444444446</v>
      </c>
      <c r="G12" s="164" t="s">
        <v>18</v>
      </c>
      <c r="H12" s="163"/>
      <c r="I12" s="165">
        <v>1</v>
      </c>
      <c r="J12" s="166" t="str">
        <f>IF(I11=Dashboard!J4,J4,I11&amp;"/"&amp;Dashboard!J4)</f>
        <v>HKD</v>
      </c>
    </row>
    <row r="13" spans="1:12" ht="15.75" customHeight="1" x14ac:dyDescent="0.3"/>
    <row r="14" spans="1:12" ht="15.75" customHeight="1" x14ac:dyDescent="0.3">
      <c r="A14" s="10"/>
      <c r="B14" s="21" t="s">
        <v>19</v>
      </c>
      <c r="C14" s="157" t="s">
        <v>289</v>
      </c>
      <c r="D14" s="219">
        <f ca="1">'FCFF Model'!C34</f>
        <v>11.094884983632483</v>
      </c>
      <c r="E14" s="157" t="s">
        <v>309</v>
      </c>
      <c r="F14" s="219">
        <f ca="1">'FCFF Model'!E34</f>
        <v>9.6736416683642261</v>
      </c>
      <c r="G14" s="220" t="s">
        <v>26</v>
      </c>
      <c r="H14" s="230">
        <f ca="1">IF('FCFF Model'!C37&lt;0, "Error", 'FCFF Model'!C37)</f>
        <v>10.467330324753545</v>
      </c>
      <c r="I14" s="163"/>
      <c r="J14" s="163"/>
    </row>
    <row r="15" spans="1:12" ht="15.75" customHeight="1" x14ac:dyDescent="0.3">
      <c r="A15" s="6"/>
      <c r="B15" s="125"/>
      <c r="C15" s="289" t="s">
        <v>326</v>
      </c>
      <c r="D15" s="117" t="s">
        <v>21</v>
      </c>
      <c r="E15" s="117" t="s">
        <v>22</v>
      </c>
      <c r="F15" s="117" t="s">
        <v>23</v>
      </c>
      <c r="G15" s="169"/>
      <c r="H15" s="83" t="s">
        <v>25</v>
      </c>
      <c r="J15" s="158" t="s">
        <v>24</v>
      </c>
    </row>
    <row r="16" spans="1:12" ht="15.75" customHeight="1" x14ac:dyDescent="0.3">
      <c r="B16" s="161">
        <f>I4</f>
        <v>10.039999999999999</v>
      </c>
      <c r="C16" s="424">
        <f ca="1">D11/2</f>
        <v>8.2222222222222224E-2</v>
      </c>
      <c r="D16" s="193">
        <f ca="1">H14/B16-1-C16</f>
        <v>-3.9659440872267498E-2</v>
      </c>
      <c r="E16" s="381">
        <f>'FCFF Model'!D15</f>
        <v>0.55999999999999994</v>
      </c>
      <c r="F16" s="195">
        <f>E16/B16</f>
        <v>5.5776892430278883E-2</v>
      </c>
      <c r="G16" s="408" t="s">
        <v>27</v>
      </c>
      <c r="H16" s="405">
        <f>('FCFF Model'!G22)*Exchange_Rate</f>
        <v>5.697384846621274</v>
      </c>
      <c r="I16" s="408" t="s">
        <v>28</v>
      </c>
      <c r="J16" s="250">
        <f>B16-$H$16</f>
        <v>4.3426151533787252</v>
      </c>
    </row>
    <row r="17" spans="1:10" ht="15.75" customHeight="1" x14ac:dyDescent="0.3">
      <c r="B17" s="369">
        <f ca="1">H14/(1+C16)</f>
        <v>9.6720711419693952</v>
      </c>
      <c r="C17" s="425"/>
      <c r="D17" s="368">
        <f ca="1">H14/B17-1-C16</f>
        <v>0</v>
      </c>
      <c r="E17" s="382"/>
      <c r="F17" s="196">
        <f ca="1">E16/B17</f>
        <v>5.7898664286083257E-2</v>
      </c>
      <c r="G17" s="409"/>
      <c r="H17" s="406"/>
      <c r="I17" s="409"/>
      <c r="J17" s="249">
        <f ca="1">B17-$H$16</f>
        <v>3.9746862953481212</v>
      </c>
    </row>
    <row r="18" spans="1:10" ht="15.75" customHeight="1" x14ac:dyDescent="0.3">
      <c r="B18" s="367">
        <v>9.25</v>
      </c>
      <c r="C18" s="426"/>
      <c r="D18" s="194">
        <f ca="1">H14/B18-1-C16</f>
        <v>4.9381056129512463E-2</v>
      </c>
      <c r="E18" s="383"/>
      <c r="F18" s="197">
        <f>E16/B18</f>
        <v>6.0540540540540533E-2</v>
      </c>
      <c r="G18" s="410"/>
      <c r="H18" s="407"/>
      <c r="I18" s="410"/>
      <c r="J18" s="251">
        <f>B18-$H$16</f>
        <v>3.552615153378726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1" t="s">
        <v>29</v>
      </c>
      <c r="C20" s="5" t="s">
        <v>336</v>
      </c>
      <c r="D20" s="370" t="s">
        <v>361</v>
      </c>
      <c r="E20" s="325" t="s">
        <v>360</v>
      </c>
      <c r="G20" s="6"/>
      <c r="H20" s="6"/>
      <c r="I20" s="6"/>
      <c r="J20" s="6"/>
    </row>
    <row r="21" spans="1:10" ht="15.75" customHeight="1" x14ac:dyDescent="0.3">
      <c r="A21" s="6"/>
      <c r="B21" s="25" t="s">
        <v>30</v>
      </c>
      <c r="C21" s="394" t="s">
        <v>327</v>
      </c>
      <c r="D21" s="395"/>
      <c r="E21" s="395"/>
      <c r="F21" s="395"/>
      <c r="G21" s="395"/>
      <c r="H21" s="395"/>
      <c r="I21" s="395"/>
      <c r="J21" s="396"/>
    </row>
    <row r="22" spans="1:10" ht="52.5" customHeight="1" x14ac:dyDescent="0.3">
      <c r="A22" s="6"/>
      <c r="B22" s="25" t="s">
        <v>31</v>
      </c>
      <c r="C22" s="374" t="s">
        <v>347</v>
      </c>
      <c r="D22" s="375"/>
      <c r="E22" s="375"/>
      <c r="F22" s="375"/>
      <c r="G22" s="374" t="s">
        <v>348</v>
      </c>
      <c r="H22" s="374"/>
      <c r="I22" s="375"/>
      <c r="J22" s="375"/>
    </row>
    <row r="23" spans="1:10" ht="52.5" customHeight="1" x14ac:dyDescent="0.3">
      <c r="A23" s="6"/>
      <c r="B23" s="26" t="s">
        <v>32</v>
      </c>
      <c r="C23" s="397" t="s">
        <v>346</v>
      </c>
      <c r="D23" s="398"/>
      <c r="E23" s="398"/>
      <c r="F23" s="398"/>
      <c r="G23" s="397" t="s">
        <v>349</v>
      </c>
      <c r="H23" s="397"/>
      <c r="I23" s="398"/>
      <c r="J23" s="398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1" t="s">
        <v>33</v>
      </c>
      <c r="C25" s="23" t="s">
        <v>34</v>
      </c>
      <c r="D25" s="36">
        <v>600000</v>
      </c>
      <c r="E25" s="12"/>
      <c r="F25" s="8"/>
      <c r="G25" s="12"/>
      <c r="H25" s="163"/>
      <c r="I25" s="6"/>
      <c r="J25" s="6"/>
    </row>
    <row r="26" spans="1:10" ht="15.75" customHeight="1" x14ac:dyDescent="0.3">
      <c r="B26" s="24" t="s">
        <v>35</v>
      </c>
      <c r="C26" s="392"/>
      <c r="D26" s="393"/>
      <c r="E26" s="392"/>
      <c r="F26" s="393"/>
      <c r="G26" s="376"/>
      <c r="H26" s="377"/>
      <c r="I26" s="423" t="s">
        <v>36</v>
      </c>
      <c r="J26" s="423"/>
    </row>
    <row r="27" spans="1:10" ht="15.75" customHeight="1" x14ac:dyDescent="0.3">
      <c r="B27" s="24" t="s">
        <v>37</v>
      </c>
      <c r="C27" s="380">
        <f>C31/D25</f>
        <v>3.4799999999999998E-2</v>
      </c>
      <c r="D27" s="379"/>
      <c r="E27" s="378">
        <f>E31/D25</f>
        <v>0.126</v>
      </c>
      <c r="F27" s="379"/>
      <c r="G27" s="411">
        <f>G31/D25</f>
        <v>0</v>
      </c>
      <c r="H27" s="412"/>
      <c r="I27" s="414">
        <f>C27+E27+G27</f>
        <v>0.1608</v>
      </c>
      <c r="J27" s="414"/>
    </row>
    <row r="28" spans="1:10" ht="15.75" customHeight="1" x14ac:dyDescent="0.3">
      <c r="B28" s="24" t="s">
        <v>38</v>
      </c>
      <c r="C28" s="438">
        <v>2000</v>
      </c>
      <c r="D28" s="375"/>
      <c r="E28" s="438">
        <v>8000</v>
      </c>
      <c r="F28" s="375"/>
      <c r="G28" s="401"/>
      <c r="H28" s="402"/>
      <c r="I28" s="429">
        <f>C28+E28+G28</f>
        <v>10000</v>
      </c>
      <c r="J28" s="429"/>
    </row>
    <row r="29" spans="1:10" ht="15.75" customHeight="1" x14ac:dyDescent="0.3">
      <c r="B29" s="24" t="s">
        <v>39</v>
      </c>
      <c r="C29" s="384">
        <v>10.44</v>
      </c>
      <c r="D29" s="375"/>
      <c r="E29" s="384">
        <v>9.4499999999999993</v>
      </c>
      <c r="F29" s="375"/>
      <c r="G29" s="415"/>
      <c r="H29" s="416"/>
      <c r="I29" s="421"/>
      <c r="J29" s="421"/>
    </row>
    <row r="30" spans="1:10" ht="15.75" customHeight="1" x14ac:dyDescent="0.3">
      <c r="B30" s="24" t="s">
        <v>40</v>
      </c>
      <c r="C30" s="427">
        <f>C29*$I$5/1000000</f>
        <v>84159.552061440001</v>
      </c>
      <c r="D30" s="434"/>
      <c r="E30" s="427">
        <f>E29*$I$5/1000000</f>
        <v>76178.904883199997</v>
      </c>
      <c r="F30" s="434"/>
      <c r="G30" s="417">
        <f>G29*$I$5/1000000</f>
        <v>0</v>
      </c>
      <c r="H30" s="418"/>
      <c r="I30" s="422"/>
      <c r="J30" s="422"/>
    </row>
    <row r="31" spans="1:10" ht="15.75" customHeight="1" x14ac:dyDescent="0.3">
      <c r="B31" s="2" t="s">
        <v>41</v>
      </c>
      <c r="C31" s="435">
        <f>C28*C29</f>
        <v>20880</v>
      </c>
      <c r="D31" s="436"/>
      <c r="E31" s="428">
        <f>E28*E29</f>
        <v>75600</v>
      </c>
      <c r="F31" s="437"/>
      <c r="G31" s="419">
        <f>G28*G29</f>
        <v>0</v>
      </c>
      <c r="H31" s="420"/>
      <c r="I31" s="428">
        <f>C31+E31+G31</f>
        <v>96480</v>
      </c>
      <c r="J31" s="428"/>
    </row>
    <row r="32" spans="1:10" ht="15.75" customHeight="1" x14ac:dyDescent="0.3">
      <c r="B32" s="1" t="s">
        <v>42</v>
      </c>
      <c r="C32" s="430"/>
      <c r="D32" s="431"/>
      <c r="E32" s="413">
        <f>IF(C31=0,"-",(C31+E31)/(C28+E28))</f>
        <v>9.6479999999999997</v>
      </c>
      <c r="F32" s="379"/>
      <c r="G32" s="146"/>
      <c r="H32" s="146"/>
      <c r="I32" s="413">
        <f>IF(I31=0,"",I31/I28)</f>
        <v>9.6479999999999997</v>
      </c>
      <c r="J32" s="413"/>
    </row>
    <row r="33" spans="2:10" ht="15.75" customHeight="1" x14ac:dyDescent="0.3">
      <c r="B33" s="1" t="s">
        <v>43</v>
      </c>
      <c r="C33" s="432"/>
      <c r="D33" s="433"/>
      <c r="E33" s="427">
        <f>IF(E32="-","-",E32*$I$5/1000000)</f>
        <v>77775.034318847989</v>
      </c>
      <c r="F33" s="434"/>
      <c r="G33" s="147"/>
      <c r="H33" s="147"/>
      <c r="I33" s="427">
        <f>IF(I32="","",I32*$I$5/1000000)</f>
        <v>77775.034318847989</v>
      </c>
      <c r="J33" s="427"/>
    </row>
    <row r="34" spans="2:10" ht="15.75" customHeight="1" x14ac:dyDescent="0.3"/>
    <row r="35" spans="2:10" ht="15.75" customHeight="1" x14ac:dyDescent="0.3"/>
    <row r="36" spans="2:10" ht="15.75" customHeight="1" x14ac:dyDescent="0.3"/>
    <row r="37" spans="2:10" ht="15.75" customHeight="1" x14ac:dyDescent="0.3"/>
    <row r="38" spans="2:10" ht="15.75" customHeight="1" x14ac:dyDescent="0.3"/>
    <row r="39" spans="2:10" ht="15.75" customHeight="1" x14ac:dyDescent="0.3"/>
    <row r="40" spans="2:10" ht="15.75" customHeight="1" x14ac:dyDescent="0.3"/>
    <row r="41" spans="2:10" ht="15.75" customHeight="1" x14ac:dyDescent="0.3"/>
    <row r="42" spans="2:10" ht="15.75" customHeight="1" x14ac:dyDescent="0.3"/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48"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I27:J27"/>
    <mergeCell ref="G29:H29"/>
    <mergeCell ref="G30:H30"/>
    <mergeCell ref="G31:H31"/>
    <mergeCell ref="G28:H28"/>
    <mergeCell ref="I29:J29"/>
    <mergeCell ref="I30:J30"/>
    <mergeCell ref="C29:D29"/>
    <mergeCell ref="C2:D2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G27:H27"/>
    <mergeCell ref="I26:J26"/>
    <mergeCell ref="G22:J22"/>
    <mergeCell ref="I11:J11"/>
    <mergeCell ref="C22:F22"/>
    <mergeCell ref="G26:H26"/>
    <mergeCell ref="E27:F27"/>
    <mergeCell ref="C27:D27"/>
    <mergeCell ref="E16:E18"/>
    <mergeCell ref="G23:J23"/>
    <mergeCell ref="E26:F26"/>
    <mergeCell ref="C16:C18"/>
    <mergeCell ref="G16:G18"/>
  </mergeCells>
  <conditionalFormatting sqref="I16">
    <cfRule type="cellIs" dxfId="13" priority="19" operator="lessThan">
      <formula>0</formula>
    </cfRule>
  </conditionalFormatting>
  <conditionalFormatting sqref="C26:G26 I26 C28:G29 I28:I29">
    <cfRule type="containsBlanks" priority="13">
      <formula>LEN(TRIM(C26))=0</formula>
    </cfRule>
  </conditionalFormatting>
  <conditionalFormatting sqref="D16:D18">
    <cfRule type="cellIs" dxfId="12" priority="9" operator="lessThan">
      <formula>0</formula>
    </cfRule>
  </conditionalFormatting>
  <conditionalFormatting sqref="H16">
    <cfRule type="cellIs" dxfId="11" priority="4" operator="greaterThan">
      <formula>$B$16</formula>
    </cfRule>
  </conditionalFormatting>
  <conditionalFormatting sqref="H14">
    <cfRule type="cellIs" dxfId="10" priority="1" operator="greaterThan">
      <formula>$B$16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62"/>
  <sheetViews>
    <sheetView showGridLines="0" topLeftCell="A19" zoomScaleNormal="100" workbookViewId="0">
      <selection activeCell="D34" sqref="D34:E34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8"/>
      <c r="B1" s="39"/>
      <c r="C1" s="40"/>
      <c r="D1" s="40"/>
      <c r="E1" s="40"/>
      <c r="F1" s="40"/>
    </row>
    <row r="2" spans="1:14" ht="15.75" customHeight="1" x14ac:dyDescent="0.3">
      <c r="A2" s="41"/>
      <c r="B2" s="11" t="s">
        <v>44</v>
      </c>
      <c r="C2" s="42"/>
      <c r="D2" s="42"/>
      <c r="E2" s="42"/>
      <c r="F2" s="42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45</v>
      </c>
      <c r="C3" s="183">
        <v>44742</v>
      </c>
      <c r="D3" s="6"/>
      <c r="E3" s="214">
        <v>1</v>
      </c>
      <c r="F3" s="212">
        <f t="array" ref="F3">AVERAGE(C19:INDEX(C19:M19,1,E3))</f>
        <v>5735396</v>
      </c>
      <c r="G3" s="6"/>
      <c r="H3" s="5"/>
      <c r="I3" s="6"/>
      <c r="J3" s="209"/>
      <c r="K3" s="6"/>
      <c r="L3" s="6"/>
      <c r="M3" s="6"/>
    </row>
    <row r="4" spans="1:14" ht="15.75" customHeight="1" x14ac:dyDescent="0.3">
      <c r="A4" s="9"/>
      <c r="B4" s="5" t="s">
        <v>46</v>
      </c>
      <c r="C4" s="37">
        <v>1000</v>
      </c>
      <c r="D4" s="6"/>
      <c r="E4" s="43">
        <f>E3</f>
        <v>1</v>
      </c>
      <c r="F4" s="213">
        <f>AVERAGE(C16:INDEX(C16:M16,1,E4))</f>
        <v>6166330.5449999999</v>
      </c>
      <c r="G4" s="6"/>
      <c r="I4" s="6"/>
      <c r="J4" s="113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4"/>
      <c r="C6" s="338">
        <f>C3</f>
        <v>44742</v>
      </c>
      <c r="D6" s="339">
        <f>EOMONTH(EDATE(C6,-12),0)</f>
        <v>44377</v>
      </c>
      <c r="E6" s="339">
        <f t="shared" ref="E6:M6" si="0">EOMONTH(EDATE(D6,-12),0)</f>
        <v>44012</v>
      </c>
      <c r="F6" s="339">
        <f t="shared" si="0"/>
        <v>43646</v>
      </c>
      <c r="G6" s="339">
        <f t="shared" si="0"/>
        <v>43281</v>
      </c>
      <c r="H6" s="339">
        <f t="shared" si="0"/>
        <v>42916</v>
      </c>
      <c r="I6" s="339">
        <f t="shared" si="0"/>
        <v>42551</v>
      </c>
      <c r="J6" s="339">
        <f t="shared" si="0"/>
        <v>42185</v>
      </c>
      <c r="K6" s="339">
        <f t="shared" si="0"/>
        <v>41820</v>
      </c>
      <c r="L6" s="339">
        <f t="shared" si="0"/>
        <v>41455</v>
      </c>
      <c r="M6" s="339">
        <f t="shared" si="0"/>
        <v>41090</v>
      </c>
    </row>
    <row r="7" spans="1:14" ht="15.75" customHeight="1" x14ac:dyDescent="0.3">
      <c r="A7" s="9"/>
      <c r="B7" s="45" t="s">
        <v>47</v>
      </c>
      <c r="C7" s="37">
        <v>15554174</v>
      </c>
      <c r="D7" s="37">
        <v>24545345</v>
      </c>
      <c r="E7" s="37">
        <v>5886888</v>
      </c>
      <c r="F7" s="37">
        <v>8009912</v>
      </c>
      <c r="G7" s="37"/>
      <c r="H7" s="37"/>
      <c r="I7" s="37"/>
      <c r="J7" s="37"/>
      <c r="K7" s="37"/>
      <c r="L7" s="37"/>
      <c r="M7" s="295"/>
      <c r="N7" s="6"/>
    </row>
    <row r="8" spans="1:14" ht="15.75" customHeight="1" x14ac:dyDescent="0.3">
      <c r="A8" s="9"/>
      <c r="B8" s="46" t="s">
        <v>48</v>
      </c>
      <c r="C8" s="14">
        <f t="shared" ref="C8:L8" si="1">IF(D7="","",C7/D7-1)</f>
        <v>-0.36630860148838817</v>
      </c>
      <c r="D8" s="14">
        <f t="shared" si="1"/>
        <v>3.1694941368002922</v>
      </c>
      <c r="E8" s="14">
        <f t="shared" si="1"/>
        <v>-0.26504960354121243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54"/>
      <c r="N8" s="6"/>
    </row>
    <row r="9" spans="1:14" ht="15.75" customHeight="1" x14ac:dyDescent="0.3">
      <c r="A9" s="9"/>
      <c r="B9" s="46" t="s">
        <v>49</v>
      </c>
      <c r="C9" s="37">
        <v>7301864</v>
      </c>
      <c r="D9" s="37">
        <v>11010749</v>
      </c>
      <c r="E9" s="37">
        <v>2437232</v>
      </c>
      <c r="F9" s="37">
        <v>3519324</v>
      </c>
      <c r="G9" s="37"/>
      <c r="H9" s="37"/>
      <c r="I9" s="37"/>
      <c r="J9" s="37"/>
      <c r="K9" s="37"/>
      <c r="L9" s="37"/>
      <c r="M9" s="295"/>
      <c r="N9" s="6"/>
    </row>
    <row r="10" spans="1:14" ht="15.75" customHeight="1" x14ac:dyDescent="0.3">
      <c r="A10" s="9"/>
      <c r="B10" s="46" t="s">
        <v>50</v>
      </c>
      <c r="C10" s="14">
        <f t="shared" ref="C10:M10" si="2">IF(C7="","",(C7-C9)/C7)</f>
        <v>0.53055276352186875</v>
      </c>
      <c r="D10" s="14">
        <f t="shared" si="2"/>
        <v>0.55141192759767688</v>
      </c>
      <c r="E10" s="14">
        <f t="shared" si="2"/>
        <v>0.58598974534592807</v>
      </c>
      <c r="F10" s="14">
        <f t="shared" si="2"/>
        <v>0.56062888081666817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54" t="str">
        <f t="shared" si="2"/>
        <v/>
      </c>
      <c r="N10" s="6"/>
    </row>
    <row r="11" spans="1:14" ht="15.75" customHeight="1" x14ac:dyDescent="0.3">
      <c r="A11" s="9"/>
      <c r="B11" s="46" t="s">
        <v>51</v>
      </c>
      <c r="C11" s="37">
        <v>867483</v>
      </c>
      <c r="D11" s="37">
        <v>823281</v>
      </c>
      <c r="E11" s="37">
        <v>843993</v>
      </c>
      <c r="F11" s="37">
        <v>932270</v>
      </c>
      <c r="G11" s="37"/>
      <c r="H11" s="37"/>
      <c r="I11" s="37"/>
      <c r="J11" s="37"/>
      <c r="K11" s="37"/>
      <c r="L11" s="37"/>
      <c r="M11" s="295"/>
      <c r="N11" s="6"/>
    </row>
    <row r="12" spans="1:14" ht="15.75" customHeight="1" x14ac:dyDescent="0.3">
      <c r="A12" s="9"/>
      <c r="B12" s="46" t="s">
        <v>52</v>
      </c>
      <c r="C12" s="14">
        <f t="shared" ref="C12:M12" si="3">IF(C7="","",C10-C13)</f>
        <v>5.5771717610976934E-2</v>
      </c>
      <c r="D12" s="14">
        <f t="shared" si="3"/>
        <v>3.3541227471033719E-2</v>
      </c>
      <c r="E12" s="14">
        <f t="shared" si="3"/>
        <v>0.14336827879178266</v>
      </c>
      <c r="F12" s="14">
        <f t="shared" si="3"/>
        <v>0.11638954335578222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54" t="str">
        <f t="shared" si="3"/>
        <v/>
      </c>
      <c r="N12" s="6"/>
    </row>
    <row r="13" spans="1:14" ht="15.75" customHeight="1" x14ac:dyDescent="0.3">
      <c r="A13" s="9"/>
      <c r="B13" s="46" t="s">
        <v>53</v>
      </c>
      <c r="C13" s="14">
        <f t="shared" ref="C13:M13" si="4">IF(C14="","",C14/C7)</f>
        <v>0.47478104591089182</v>
      </c>
      <c r="D13" s="14">
        <f t="shared" si="4"/>
        <v>0.51787070012664316</v>
      </c>
      <c r="E13" s="14">
        <f t="shared" si="4"/>
        <v>0.44262146655414542</v>
      </c>
      <c r="F13" s="14">
        <f t="shared" si="4"/>
        <v>0.44423933746088595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54" t="str">
        <f t="shared" si="4"/>
        <v/>
      </c>
      <c r="N13" s="6"/>
    </row>
    <row r="14" spans="1:14" ht="15.75" customHeight="1" x14ac:dyDescent="0.3">
      <c r="A14" s="9"/>
      <c r="B14" s="46" t="s">
        <v>54</v>
      </c>
      <c r="C14" s="29">
        <f t="shared" ref="C14:M14" si="5">IF(C7="","",C7-C9-C11)</f>
        <v>7384827</v>
      </c>
      <c r="D14" s="29">
        <f t="shared" si="5"/>
        <v>12711315</v>
      </c>
      <c r="E14" s="29">
        <f t="shared" si="5"/>
        <v>2605663</v>
      </c>
      <c r="F14" s="29">
        <f t="shared" si="5"/>
        <v>3558318</v>
      </c>
      <c r="G14" s="29" t="str">
        <f t="shared" si="5"/>
        <v/>
      </c>
      <c r="H14" s="29" t="str">
        <f t="shared" si="5"/>
        <v/>
      </c>
      <c r="I14" s="29" t="str">
        <f t="shared" si="5"/>
        <v/>
      </c>
      <c r="J14" s="29" t="str">
        <f t="shared" si="5"/>
        <v/>
      </c>
      <c r="K14" s="29" t="str">
        <f t="shared" si="5"/>
        <v/>
      </c>
      <c r="L14" s="29" t="str">
        <f t="shared" si="5"/>
        <v/>
      </c>
      <c r="M14" s="296" t="str">
        <f t="shared" si="5"/>
        <v/>
      </c>
      <c r="N14" s="6"/>
    </row>
    <row r="15" spans="1:14" ht="15.75" customHeight="1" x14ac:dyDescent="0.3">
      <c r="A15" s="9"/>
      <c r="B15" s="46" t="s">
        <v>55</v>
      </c>
      <c r="C15" s="14">
        <f>IF(D14="","",IF(ABS(C14+D14)=ABS(C14)+ABS(D14),IF(C14&lt;0,-1,1)*(C14-D14)/D14,"Turn"))</f>
        <v>-0.41903516669990476</v>
      </c>
      <c r="D15" s="14">
        <f t="shared" ref="D15:M15" si="6">IF(E14="","",IF(ABS(D14+E14)=ABS(D14)+ABS(E14),IF(D14&lt;0,-1,1)*(D14-E14)/E14,"Turn"))</f>
        <v>3.8783419037688298</v>
      </c>
      <c r="E15" s="14">
        <f t="shared" si="6"/>
        <v>-0.26772621221599646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54" t="str">
        <f t="shared" si="6"/>
        <v/>
      </c>
      <c r="N15" s="6"/>
    </row>
    <row r="16" spans="1:14" ht="15.75" customHeight="1" x14ac:dyDescent="0.3">
      <c r="A16" s="9"/>
      <c r="B16" s="46" t="s">
        <v>56</v>
      </c>
      <c r="C16" s="173">
        <f>IF(C14="","",C14*(1-'FCFF Model'!$D$6))</f>
        <v>6166330.5449999999</v>
      </c>
      <c r="D16" s="173">
        <f>IF(D14="","",D14*(1-'FCFF Model'!$D$6))</f>
        <v>10613948.025</v>
      </c>
      <c r="E16" s="173">
        <f>IF(E14="","",E14*(1-'FCFF Model'!$D$6))</f>
        <v>2175728.605</v>
      </c>
      <c r="F16" s="173">
        <f>IF(F14="","",F14*(1-'FCFF Model'!$D$6))</f>
        <v>2971195.53</v>
      </c>
      <c r="G16" s="173" t="str">
        <f>IF(G14="","",G14*(1-'FCFF Model'!$D$6))</f>
        <v/>
      </c>
      <c r="H16" s="173" t="str">
        <f>IF(H14="","",H14*(1-'FCFF Model'!$D$6))</f>
        <v/>
      </c>
      <c r="I16" s="173" t="str">
        <f>IF(I14="","",I14*(1-'FCFF Model'!$D$6))</f>
        <v/>
      </c>
      <c r="J16" s="173" t="str">
        <f>IF(J14="","",J14*(1-'FCFF Model'!$D$6))</f>
        <v/>
      </c>
      <c r="K16" s="173" t="str">
        <f>IF(K14="","",K14*(1-'FCFF Model'!$D$6))</f>
        <v/>
      </c>
      <c r="L16" s="173" t="str">
        <f>IF(L14="","",L14*(1-'FCFF Model'!$D$6))</f>
        <v/>
      </c>
      <c r="M16" s="297" t="str">
        <f>IF(M14="","",M14*(1-'FCFF Model'!$D$6))</f>
        <v/>
      </c>
      <c r="N16" s="6"/>
    </row>
    <row r="17" spans="1:14" ht="15.75" customHeight="1" x14ac:dyDescent="0.3">
      <c r="A17" s="9"/>
      <c r="B17" s="172" t="s">
        <v>57</v>
      </c>
      <c r="C17" s="159">
        <f t="shared" ref="C17:M17" si="7">IF(C7="","",C16/C7)</f>
        <v>0.39644217333559467</v>
      </c>
      <c r="D17" s="159">
        <f t="shared" si="7"/>
        <v>0.43242203460574707</v>
      </c>
      <c r="E17" s="159">
        <f t="shared" si="7"/>
        <v>0.36958892457271142</v>
      </c>
      <c r="F17" s="159">
        <f t="shared" si="7"/>
        <v>0.37093984677983977</v>
      </c>
      <c r="G17" s="159" t="str">
        <f t="shared" si="7"/>
        <v/>
      </c>
      <c r="H17" s="159" t="str">
        <f t="shared" si="7"/>
        <v/>
      </c>
      <c r="I17" s="159" t="str">
        <f t="shared" si="7"/>
        <v/>
      </c>
      <c r="J17" s="159" t="str">
        <f t="shared" si="7"/>
        <v/>
      </c>
      <c r="K17" s="159" t="str">
        <f t="shared" si="7"/>
        <v/>
      </c>
      <c r="L17" s="159" t="str">
        <f t="shared" si="7"/>
        <v/>
      </c>
      <c r="M17" s="298" t="str">
        <f t="shared" si="7"/>
        <v/>
      </c>
      <c r="N17" s="6"/>
    </row>
    <row r="18" spans="1:14" ht="15.75" customHeight="1" x14ac:dyDescent="0.3">
      <c r="A18" s="9"/>
      <c r="B18" s="46" t="s">
        <v>339</v>
      </c>
      <c r="C18" s="174">
        <v>27282</v>
      </c>
      <c r="D18" s="174">
        <v>39885</v>
      </c>
      <c r="E18" s="174">
        <v>31747</v>
      </c>
      <c r="F18" s="174">
        <v>60128</v>
      </c>
      <c r="G18" s="174"/>
      <c r="H18" s="174"/>
      <c r="I18" s="174"/>
      <c r="J18" s="174"/>
      <c r="K18" s="174"/>
      <c r="L18" s="174"/>
      <c r="M18" s="299"/>
      <c r="N18" s="6"/>
    </row>
    <row r="19" spans="1:14" ht="15.75" customHeight="1" x14ac:dyDescent="0.3">
      <c r="A19" s="9"/>
      <c r="B19" s="46" t="s">
        <v>58</v>
      </c>
      <c r="C19" s="37">
        <v>5735396</v>
      </c>
      <c r="D19" s="37">
        <v>9646036</v>
      </c>
      <c r="E19" s="37">
        <v>1688050</v>
      </c>
      <c r="F19" s="37">
        <v>6914903</v>
      </c>
      <c r="G19" s="37"/>
      <c r="H19" s="37"/>
      <c r="I19" s="37"/>
      <c r="J19" s="37"/>
      <c r="K19" s="37"/>
      <c r="L19" s="37"/>
      <c r="M19" s="295"/>
      <c r="N19" s="6"/>
    </row>
    <row r="20" spans="1:14" ht="15.75" customHeight="1" x14ac:dyDescent="0.3">
      <c r="A20" s="9"/>
      <c r="B20" s="46" t="s">
        <v>59</v>
      </c>
      <c r="C20" s="14">
        <f t="shared" ref="C20:M20" si="8">IF(C7="","",C19/C7)</f>
        <v>0.3687367776649535</v>
      </c>
      <c r="D20" s="14">
        <f t="shared" si="8"/>
        <v>0.39298840574455157</v>
      </c>
      <c r="E20" s="14">
        <f t="shared" si="8"/>
        <v>0.28674742920198243</v>
      </c>
      <c r="F20" s="14">
        <f t="shared" si="8"/>
        <v>0.86329325465747941</v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54" t="str">
        <f t="shared" si="8"/>
        <v/>
      </c>
      <c r="N20" s="6"/>
    </row>
    <row r="21" spans="1:14" ht="15.75" customHeight="1" x14ac:dyDescent="0.3">
      <c r="A21" s="9"/>
      <c r="B21" s="46" t="s">
        <v>60</v>
      </c>
      <c r="C21" s="211">
        <v>71424985.186999992</v>
      </c>
      <c r="D21" s="37">
        <v>74808371</v>
      </c>
      <c r="E21" s="37">
        <v>80391448</v>
      </c>
      <c r="F21" s="37">
        <v>74544144</v>
      </c>
      <c r="G21" s="37"/>
      <c r="H21" s="37"/>
      <c r="I21" s="37"/>
      <c r="J21" s="37"/>
      <c r="K21" s="37"/>
      <c r="L21" s="37"/>
      <c r="M21" s="295"/>
      <c r="N21" s="6"/>
    </row>
    <row r="22" spans="1:14" ht="15.75" customHeight="1" x14ac:dyDescent="0.3">
      <c r="A22" s="9"/>
      <c r="B22" s="46" t="s">
        <v>61</v>
      </c>
      <c r="C22" s="211">
        <v>15104618.66</v>
      </c>
      <c r="D22" s="37">
        <v>17965728</v>
      </c>
      <c r="E22" s="37">
        <v>32319376</v>
      </c>
      <c r="F22" s="37">
        <v>25385564</v>
      </c>
      <c r="G22" s="37"/>
      <c r="H22" s="37"/>
      <c r="I22" s="37"/>
      <c r="J22" s="37"/>
      <c r="K22" s="37"/>
      <c r="L22" s="37"/>
      <c r="M22" s="295"/>
      <c r="N22" s="6"/>
    </row>
    <row r="23" spans="1:14" ht="15.5" customHeight="1" x14ac:dyDescent="0.3">
      <c r="A23" s="9"/>
      <c r="B23" s="46" t="s">
        <v>62</v>
      </c>
      <c r="C23" s="211">
        <v>3146501.6940000001</v>
      </c>
      <c r="D23" s="37">
        <v>2894189</v>
      </c>
      <c r="E23" s="37">
        <v>864027</v>
      </c>
      <c r="F23" s="37">
        <v>0</v>
      </c>
      <c r="G23" s="37"/>
      <c r="H23" s="37"/>
      <c r="I23" s="37"/>
      <c r="J23" s="37"/>
      <c r="K23" s="37"/>
      <c r="L23" s="37"/>
      <c r="M23" s="295"/>
      <c r="N23" s="6"/>
    </row>
    <row r="24" spans="1:14" ht="15.75" customHeight="1" x14ac:dyDescent="0.3">
      <c r="A24" s="9"/>
      <c r="B24" s="171" t="s">
        <v>63</v>
      </c>
      <c r="C24" s="332">
        <v>31180.352999999999</v>
      </c>
      <c r="D24" s="170">
        <v>49241</v>
      </c>
      <c r="E24" s="170">
        <v>32031</v>
      </c>
      <c r="F24" s="170">
        <v>0</v>
      </c>
      <c r="G24" s="170"/>
      <c r="H24" s="170"/>
      <c r="I24" s="170"/>
      <c r="J24" s="170"/>
      <c r="K24" s="170"/>
      <c r="L24" s="170"/>
      <c r="M24" s="300"/>
      <c r="N24" s="6"/>
    </row>
    <row r="25" spans="1:14" ht="15.75" customHeight="1" x14ac:dyDescent="0.3">
      <c r="A25" s="9"/>
      <c r="B25" s="46" t="s">
        <v>64</v>
      </c>
      <c r="C25" s="211">
        <v>2956802.0830000001</v>
      </c>
      <c r="D25" s="37">
        <v>4131550</v>
      </c>
      <c r="E25" s="37">
        <v>6139127</v>
      </c>
      <c r="F25" s="37">
        <v>6755357</v>
      </c>
      <c r="G25" s="37"/>
      <c r="H25" s="37"/>
      <c r="I25" s="37"/>
      <c r="J25" s="37"/>
      <c r="K25" s="37"/>
      <c r="L25" s="37"/>
      <c r="M25" s="295"/>
      <c r="N25" s="6"/>
    </row>
    <row r="26" spans="1:14" ht="15.75" customHeight="1" x14ac:dyDescent="0.3">
      <c r="A26" s="9"/>
      <c r="B26" s="171" t="s">
        <v>65</v>
      </c>
      <c r="C26" s="210">
        <v>13550.745000000001</v>
      </c>
      <c r="D26" s="170">
        <v>19736</v>
      </c>
      <c r="E26" s="170">
        <v>7537</v>
      </c>
      <c r="F26" s="170">
        <v>0</v>
      </c>
      <c r="G26" s="170"/>
      <c r="H26" s="170"/>
      <c r="I26" s="170"/>
      <c r="J26" s="170"/>
      <c r="K26" s="170"/>
      <c r="L26" s="170"/>
      <c r="M26" s="300"/>
      <c r="N26" s="6"/>
    </row>
    <row r="27" spans="1:14" ht="15.75" customHeight="1" x14ac:dyDescent="0.3">
      <c r="A27" s="9"/>
      <c r="B27" s="46" t="s">
        <v>66</v>
      </c>
      <c r="C27" s="29">
        <f t="shared" ref="C27:M27" si="9">IF(C7="","",C23+C25)</f>
        <v>6103303.7770000007</v>
      </c>
      <c r="D27" s="29">
        <f t="shared" si="9"/>
        <v>7025739</v>
      </c>
      <c r="E27" s="29">
        <f t="shared" si="9"/>
        <v>7003154</v>
      </c>
      <c r="F27" s="29">
        <f t="shared" si="9"/>
        <v>6755357</v>
      </c>
      <c r="G27" s="29" t="str">
        <f t="shared" si="9"/>
        <v/>
      </c>
      <c r="H27" s="29" t="str">
        <f t="shared" si="9"/>
        <v/>
      </c>
      <c r="I27" s="29" t="str">
        <f t="shared" si="9"/>
        <v/>
      </c>
      <c r="J27" s="29" t="str">
        <f t="shared" si="9"/>
        <v/>
      </c>
      <c r="K27" s="29" t="str">
        <f t="shared" si="9"/>
        <v/>
      </c>
      <c r="L27" s="29" t="str">
        <f t="shared" si="9"/>
        <v/>
      </c>
      <c r="M27" s="296" t="str">
        <f t="shared" si="9"/>
        <v/>
      </c>
      <c r="N27" s="6"/>
    </row>
    <row r="28" spans="1:14" ht="15.75" customHeight="1" x14ac:dyDescent="0.3">
      <c r="A28" s="9"/>
      <c r="B28" s="46" t="s">
        <v>67</v>
      </c>
      <c r="C28" s="211">
        <v>158228515.46700001</v>
      </c>
      <c r="D28" s="37">
        <v>156808599</v>
      </c>
      <c r="E28" s="37">
        <v>145759189</v>
      </c>
      <c r="F28" s="37">
        <v>146162104</v>
      </c>
      <c r="G28" s="37"/>
      <c r="H28" s="37"/>
      <c r="I28" s="37"/>
      <c r="J28" s="37"/>
      <c r="K28" s="37"/>
      <c r="L28" s="37"/>
      <c r="M28" s="295"/>
      <c r="N28" s="6"/>
    </row>
    <row r="29" spans="1:14" ht="15.75" customHeight="1" x14ac:dyDescent="0.3">
      <c r="A29" s="9"/>
      <c r="B29" s="171" t="s">
        <v>281</v>
      </c>
      <c r="C29" s="210">
        <v>157397300.09900001</v>
      </c>
      <c r="D29" s="170"/>
      <c r="E29" s="170"/>
      <c r="F29" s="170"/>
      <c r="G29" s="170"/>
      <c r="H29" s="170"/>
      <c r="I29" s="170"/>
      <c r="J29" s="170"/>
      <c r="K29" s="170"/>
      <c r="L29" s="170"/>
      <c r="M29" s="300"/>
      <c r="N29" s="6"/>
    </row>
    <row r="30" spans="1:14" ht="15.75" customHeight="1" x14ac:dyDescent="0.3">
      <c r="A30" s="9"/>
      <c r="B30" s="46" t="s">
        <v>68</v>
      </c>
      <c r="C30" s="211">
        <v>1285288.264</v>
      </c>
      <c r="D30" s="37">
        <v>1376283</v>
      </c>
      <c r="E30" s="37">
        <v>1367290</v>
      </c>
      <c r="F30" s="37">
        <v>219236</v>
      </c>
      <c r="G30" s="37"/>
      <c r="H30" s="37"/>
      <c r="I30" s="37"/>
      <c r="J30" s="37"/>
      <c r="K30" s="37"/>
      <c r="L30" s="37"/>
      <c r="M30" s="295"/>
      <c r="N30" s="6"/>
    </row>
    <row r="31" spans="1:14" ht="15.75" customHeight="1" x14ac:dyDescent="0.3">
      <c r="A31" s="9"/>
      <c r="B31" s="46" t="s">
        <v>310</v>
      </c>
      <c r="C31" s="211">
        <v>44784474.113000005</v>
      </c>
      <c r="D31" s="37">
        <v>3591931</v>
      </c>
      <c r="E31" s="37">
        <v>6018531</v>
      </c>
      <c r="F31" s="37">
        <v>11404920</v>
      </c>
      <c r="G31" s="37"/>
      <c r="H31" s="37"/>
      <c r="I31" s="37"/>
      <c r="J31" s="37"/>
      <c r="K31" s="37"/>
      <c r="L31" s="37"/>
      <c r="M31" s="295"/>
      <c r="N31" s="6"/>
    </row>
    <row r="32" spans="1:14" ht="15.75" customHeight="1" x14ac:dyDescent="0.3">
      <c r="A32" s="9"/>
      <c r="B32" s="46" t="s">
        <v>69</v>
      </c>
      <c r="C32" s="14">
        <f t="shared" ref="C32:M32" si="10">IF(D7="","",(C30-D30)/C30)</f>
        <v>-7.0797142204357691E-2</v>
      </c>
      <c r="D32" s="14">
        <f t="shared" si="10"/>
        <v>6.5342665716280734E-3</v>
      </c>
      <c r="E32" s="14">
        <f t="shared" si="10"/>
        <v>0.83965654689202729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54" t="str">
        <f t="shared" si="10"/>
        <v/>
      </c>
      <c r="N32" s="6"/>
    </row>
    <row r="33" spans="1:14" ht="15.75" customHeight="1" x14ac:dyDescent="0.3">
      <c r="A33" s="9"/>
      <c r="B33" s="46" t="s">
        <v>70</v>
      </c>
      <c r="C33" s="302">
        <f>IF(D7="","",(C7-D7)*Asset_Model!$D$65)</f>
        <v>-1348675.65</v>
      </c>
      <c r="D33" s="302">
        <f>IF(E7="","",(D7-E7)*Asset_Model!$D$65)</f>
        <v>2798768.55</v>
      </c>
      <c r="E33" s="302">
        <f>IF(F7="","",(E7-F7)*Asset_Model!$D$65)</f>
        <v>-318453.59999999998</v>
      </c>
      <c r="F33" s="302" t="str">
        <f>IF(G7="","",(F7-G7)*Asset_Model!$D$65)</f>
        <v/>
      </c>
      <c r="G33" s="302" t="str">
        <f>IF(H7="","",(G7-H7)*Asset_Model!$D$65)</f>
        <v/>
      </c>
      <c r="H33" s="302" t="str">
        <f>IF(I7="","",(H7-I7)*Asset_Model!$D$65)</f>
        <v/>
      </c>
      <c r="I33" s="302" t="str">
        <f>IF(J7="","",(I7-J7)*Asset_Model!$D$65)</f>
        <v/>
      </c>
      <c r="J33" s="302" t="str">
        <f>IF(K7="","",(J7-K7)*Asset_Model!$D$65)</f>
        <v/>
      </c>
      <c r="K33" s="302" t="str">
        <f>IF(L7="","",(K7-L7)*Asset_Model!$D$65)</f>
        <v/>
      </c>
      <c r="L33" s="302" t="str">
        <f>IF(M7="","",(L7-M7)*Asset_Model!$D$65)</f>
        <v/>
      </c>
      <c r="M33" s="303" t="str">
        <f>IF(N7="","",(M7-N7)*Asset_Model!$D$65)</f>
        <v/>
      </c>
      <c r="N33" s="6"/>
    </row>
    <row r="34" spans="1:14" ht="15.75" customHeight="1" x14ac:dyDescent="0.3">
      <c r="A34" s="9"/>
      <c r="B34" s="46" t="s">
        <v>71</v>
      </c>
      <c r="C34" s="173">
        <f t="shared" ref="C34:M34" si="11">IF(D7="","",C30-D30+C33)</f>
        <v>-1439670.3859999999</v>
      </c>
      <c r="D34" s="173">
        <f t="shared" si="11"/>
        <v>2807761.55</v>
      </c>
      <c r="E34" s="173">
        <f t="shared" si="11"/>
        <v>829600.4</v>
      </c>
      <c r="F34" s="173" t="str">
        <f t="shared" si="11"/>
        <v/>
      </c>
      <c r="G34" s="173" t="str">
        <f t="shared" si="11"/>
        <v/>
      </c>
      <c r="H34" s="173" t="str">
        <f t="shared" si="11"/>
        <v/>
      </c>
      <c r="I34" s="173" t="str">
        <f t="shared" si="11"/>
        <v/>
      </c>
      <c r="J34" s="173" t="str">
        <f t="shared" si="11"/>
        <v/>
      </c>
      <c r="K34" s="173" t="str">
        <f t="shared" si="11"/>
        <v/>
      </c>
      <c r="L34" s="173" t="str">
        <f t="shared" si="11"/>
        <v/>
      </c>
      <c r="M34" s="297" t="str">
        <f t="shared" si="11"/>
        <v/>
      </c>
      <c r="N34" s="6"/>
    </row>
    <row r="35" spans="1:14" ht="15.75" customHeight="1" x14ac:dyDescent="0.3">
      <c r="A35" s="9"/>
      <c r="B35" s="301" t="s">
        <v>72</v>
      </c>
      <c r="C35" s="293">
        <f t="shared" ref="C35:M35" si="12">IF(C34="","",C34/C16)</f>
        <v>-0.23347278831287496</v>
      </c>
      <c r="D35" s="293">
        <f t="shared" si="12"/>
        <v>0.26453507623992722</v>
      </c>
      <c r="E35" s="293">
        <f t="shared" si="12"/>
        <v>0.38129774002764466</v>
      </c>
      <c r="F35" s="293" t="str">
        <f t="shared" si="12"/>
        <v/>
      </c>
      <c r="G35" s="293" t="str">
        <f t="shared" si="12"/>
        <v/>
      </c>
      <c r="H35" s="293" t="str">
        <f t="shared" si="12"/>
        <v/>
      </c>
      <c r="I35" s="293" t="str">
        <f t="shared" si="12"/>
        <v/>
      </c>
      <c r="J35" s="293" t="str">
        <f t="shared" si="12"/>
        <v/>
      </c>
      <c r="K35" s="293" t="str">
        <f t="shared" si="12"/>
        <v/>
      </c>
      <c r="L35" s="293" t="str">
        <f t="shared" si="12"/>
        <v/>
      </c>
      <c r="M35" s="294" t="str">
        <f t="shared" si="12"/>
        <v/>
      </c>
      <c r="N35" s="6"/>
    </row>
    <row r="36" spans="1:14" ht="15.75" customHeight="1" x14ac:dyDescent="0.3">
      <c r="A36" s="9"/>
      <c r="B36" s="49" t="s">
        <v>73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203" t="s">
        <v>340</v>
      </c>
      <c r="C37" s="200">
        <v>3053687</v>
      </c>
      <c r="D37" s="200">
        <v>508443</v>
      </c>
      <c r="E37" s="200">
        <v>1287845</v>
      </c>
      <c r="F37" s="200">
        <v>822878</v>
      </c>
      <c r="G37" s="200"/>
      <c r="H37" s="200"/>
      <c r="I37" s="200"/>
      <c r="J37" s="200"/>
      <c r="K37" s="200"/>
      <c r="L37" s="200"/>
      <c r="M37" s="201"/>
      <c r="N37" s="6"/>
    </row>
    <row r="38" spans="1:14" ht="15.75" customHeight="1" x14ac:dyDescent="0.3">
      <c r="A38" s="9"/>
      <c r="B38" s="172" t="s">
        <v>74</v>
      </c>
      <c r="C38" s="199">
        <v>0</v>
      </c>
      <c r="D38" s="199">
        <v>0</v>
      </c>
      <c r="E38" s="199">
        <v>0</v>
      </c>
      <c r="F38" s="199">
        <v>0</v>
      </c>
      <c r="G38" s="199"/>
      <c r="H38" s="199"/>
      <c r="I38" s="199"/>
      <c r="J38" s="199"/>
      <c r="K38" s="199"/>
      <c r="L38" s="199"/>
      <c r="M38" s="202"/>
      <c r="N38" s="6"/>
    </row>
    <row r="39" spans="1:14" ht="15.75" customHeight="1" x14ac:dyDescent="0.3">
      <c r="A39" s="9"/>
      <c r="B39" s="172" t="s">
        <v>277</v>
      </c>
      <c r="C39" s="205">
        <f t="shared" ref="C39:M39" si="13">IF(C37="","",C37*$C$4/Common_Shares)</f>
        <v>0.37881014690674569</v>
      </c>
      <c r="D39" s="205">
        <f t="shared" si="13"/>
        <v>6.3072399864068096E-2</v>
      </c>
      <c r="E39" s="205">
        <f t="shared" si="13"/>
        <v>0.15975728804003747</v>
      </c>
      <c r="F39" s="205">
        <f t="shared" si="13"/>
        <v>0.10207808988489295</v>
      </c>
      <c r="G39" s="205" t="str">
        <f t="shared" si="13"/>
        <v/>
      </c>
      <c r="H39" s="205" t="str">
        <f t="shared" si="13"/>
        <v/>
      </c>
      <c r="I39" s="205" t="str">
        <f t="shared" si="13"/>
        <v/>
      </c>
      <c r="J39" s="205" t="str">
        <f t="shared" si="13"/>
        <v/>
      </c>
      <c r="K39" s="205" t="str">
        <f t="shared" si="13"/>
        <v/>
      </c>
      <c r="L39" s="205" t="str">
        <f t="shared" si="13"/>
        <v/>
      </c>
      <c r="M39" s="206" t="str">
        <f t="shared" si="13"/>
        <v/>
      </c>
      <c r="N39" s="6"/>
    </row>
    <row r="40" spans="1:14" ht="15.75" customHeight="1" x14ac:dyDescent="0.3">
      <c r="A40" s="9"/>
      <c r="B40" s="204" t="s">
        <v>278</v>
      </c>
      <c r="C40" s="207">
        <f t="shared" ref="C40:M40" si="14">IF(C38="","",C38*$C$4/Common_Shares)</f>
        <v>0</v>
      </c>
      <c r="D40" s="207">
        <f t="shared" si="14"/>
        <v>0</v>
      </c>
      <c r="E40" s="207">
        <f t="shared" si="14"/>
        <v>0</v>
      </c>
      <c r="F40" s="207">
        <f t="shared" si="14"/>
        <v>0</v>
      </c>
      <c r="G40" s="207" t="str">
        <f t="shared" si="14"/>
        <v/>
      </c>
      <c r="H40" s="207" t="str">
        <f t="shared" si="14"/>
        <v/>
      </c>
      <c r="I40" s="207" t="str">
        <f t="shared" si="14"/>
        <v/>
      </c>
      <c r="J40" s="207" t="str">
        <f t="shared" si="14"/>
        <v/>
      </c>
      <c r="K40" s="207" t="str">
        <f t="shared" si="14"/>
        <v/>
      </c>
      <c r="L40" s="207" t="str">
        <f t="shared" si="14"/>
        <v/>
      </c>
      <c r="M40" s="208" t="str">
        <f t="shared" si="14"/>
        <v/>
      </c>
      <c r="N40" s="6"/>
    </row>
    <row r="41" spans="1:14" ht="15.75" customHeight="1" x14ac:dyDescent="0.3">
      <c r="A41" s="9"/>
      <c r="B41" s="117" t="s">
        <v>75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5" t="s">
        <v>76</v>
      </c>
      <c r="C42" s="50">
        <f>IF(C29="","",C25/C28)</f>
        <v>1.8686910347816971E-2</v>
      </c>
      <c r="D42" s="50" t="str">
        <f t="shared" ref="D42:M42" si="15">IF(D29="","",D25/D29)</f>
        <v/>
      </c>
      <c r="E42" s="50" t="str">
        <f t="shared" si="15"/>
        <v/>
      </c>
      <c r="F42" s="50" t="str">
        <f t="shared" si="15"/>
        <v/>
      </c>
      <c r="G42" s="50" t="str">
        <f t="shared" si="15"/>
        <v/>
      </c>
      <c r="H42" s="50" t="str">
        <f t="shared" si="15"/>
        <v/>
      </c>
      <c r="I42" s="50" t="str">
        <f t="shared" si="15"/>
        <v/>
      </c>
      <c r="J42" s="50" t="str">
        <f t="shared" si="15"/>
        <v/>
      </c>
      <c r="K42" s="50" t="str">
        <f t="shared" si="15"/>
        <v/>
      </c>
      <c r="L42" s="50" t="str">
        <f t="shared" si="15"/>
        <v/>
      </c>
      <c r="M42" s="253" t="str">
        <f t="shared" si="15"/>
        <v/>
      </c>
      <c r="N42" s="6"/>
    </row>
    <row r="43" spans="1:14" ht="15.75" customHeight="1" x14ac:dyDescent="0.3">
      <c r="A43" s="9"/>
      <c r="B43" s="46" t="s">
        <v>335</v>
      </c>
      <c r="C43" s="14">
        <f t="shared" ref="C43:M43" si="16">IF(C29="","",C27/C29)</f>
        <v>3.8776419755365152E-2</v>
      </c>
      <c r="D43" s="14" t="str">
        <f t="shared" si="16"/>
        <v/>
      </c>
      <c r="E43" s="14" t="str">
        <f t="shared" si="16"/>
        <v/>
      </c>
      <c r="F43" s="14" t="str">
        <f t="shared" si="16"/>
        <v/>
      </c>
      <c r="G43" s="14" t="str">
        <f t="shared" si="16"/>
        <v/>
      </c>
      <c r="H43" s="14" t="str">
        <f t="shared" si="16"/>
        <v/>
      </c>
      <c r="I43" s="14" t="str">
        <f t="shared" si="16"/>
        <v/>
      </c>
      <c r="J43" s="14" t="str">
        <f t="shared" si="16"/>
        <v/>
      </c>
      <c r="K43" s="14" t="str">
        <f t="shared" si="16"/>
        <v/>
      </c>
      <c r="L43" s="14" t="str">
        <f t="shared" si="16"/>
        <v/>
      </c>
      <c r="M43" s="254" t="str">
        <f t="shared" si="16"/>
        <v/>
      </c>
      <c r="N43" s="6"/>
    </row>
    <row r="44" spans="1:14" ht="15.75" customHeight="1" x14ac:dyDescent="0.3">
      <c r="A44" s="9"/>
      <c r="B44" s="46" t="s">
        <v>77</v>
      </c>
      <c r="C44" s="52">
        <f t="shared" ref="C44:M44" si="17">IF(C14="","",IF(C27&lt;=0,"-",C14/C27))</f>
        <v>1.2099720528133233</v>
      </c>
      <c r="D44" s="52">
        <f t="shared" si="17"/>
        <v>1.8092495323267772</v>
      </c>
      <c r="E44" s="52">
        <f t="shared" si="17"/>
        <v>0.37206992734987693</v>
      </c>
      <c r="F44" s="52">
        <f t="shared" si="17"/>
        <v>0.52674018560381042</v>
      </c>
      <c r="G44" s="52" t="str">
        <f t="shared" si="17"/>
        <v/>
      </c>
      <c r="H44" s="52" t="str">
        <f t="shared" si="17"/>
        <v/>
      </c>
      <c r="I44" s="52" t="str">
        <f t="shared" si="17"/>
        <v/>
      </c>
      <c r="J44" s="52" t="str">
        <f t="shared" si="17"/>
        <v/>
      </c>
      <c r="K44" s="52" t="str">
        <f t="shared" si="17"/>
        <v/>
      </c>
      <c r="L44" s="52" t="str">
        <f t="shared" si="17"/>
        <v/>
      </c>
      <c r="M44" s="255" t="str">
        <f t="shared" si="17"/>
        <v/>
      </c>
      <c r="N44" s="6"/>
    </row>
    <row r="45" spans="1:14" ht="15.75" customHeight="1" x14ac:dyDescent="0.3">
      <c r="A45" s="9"/>
      <c r="B45" s="46" t="s">
        <v>78</v>
      </c>
      <c r="C45" s="14">
        <f t="shared" ref="C45:M45" si="18">IF(C16="","",IF(C18&lt;=0,"-",C18/C16))</f>
        <v>4.4243492626456337E-3</v>
      </c>
      <c r="D45" s="14">
        <f t="shared" si="18"/>
        <v>3.7577911542486567E-3</v>
      </c>
      <c r="E45" s="14">
        <f t="shared" si="18"/>
        <v>1.4591433842917187E-2</v>
      </c>
      <c r="F45" s="14">
        <f t="shared" si="18"/>
        <v>2.0236971748540562E-2</v>
      </c>
      <c r="G45" s="14" t="str">
        <f t="shared" si="18"/>
        <v/>
      </c>
      <c r="H45" s="14" t="str">
        <f t="shared" si="18"/>
        <v/>
      </c>
      <c r="I45" s="14" t="str">
        <f t="shared" si="18"/>
        <v/>
      </c>
      <c r="J45" s="14" t="str">
        <f t="shared" si="18"/>
        <v/>
      </c>
      <c r="K45" s="14" t="str">
        <f t="shared" si="18"/>
        <v/>
      </c>
      <c r="L45" s="14" t="str">
        <f t="shared" si="18"/>
        <v/>
      </c>
      <c r="M45" s="254" t="str">
        <f t="shared" si="18"/>
        <v/>
      </c>
      <c r="N45" s="6"/>
    </row>
    <row r="46" spans="1:14" ht="15.75" customHeight="1" x14ac:dyDescent="0.3">
      <c r="A46" s="9"/>
      <c r="B46" s="48" t="s">
        <v>79</v>
      </c>
      <c r="C46" s="53">
        <f t="shared" ref="C46:M46" si="19">IF(C21="","",C21/C22)</f>
        <v>4.7286850992238154</v>
      </c>
      <c r="D46" s="53">
        <f t="shared" si="19"/>
        <v>4.1639487695683695</v>
      </c>
      <c r="E46" s="53">
        <f t="shared" si="19"/>
        <v>2.4874071826139219</v>
      </c>
      <c r="F46" s="53">
        <f t="shared" si="19"/>
        <v>2.9364777556252051</v>
      </c>
      <c r="G46" s="53" t="str">
        <f t="shared" si="19"/>
        <v/>
      </c>
      <c r="H46" s="53" t="str">
        <f t="shared" si="19"/>
        <v/>
      </c>
      <c r="I46" s="53" t="str">
        <f t="shared" si="19"/>
        <v/>
      </c>
      <c r="J46" s="53" t="str">
        <f t="shared" si="19"/>
        <v/>
      </c>
      <c r="K46" s="53" t="str">
        <f t="shared" si="19"/>
        <v/>
      </c>
      <c r="L46" s="53" t="str">
        <f t="shared" si="19"/>
        <v/>
      </c>
      <c r="M46" s="256" t="str">
        <f t="shared" si="19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2" t="s">
        <v>80</v>
      </c>
      <c r="C48" s="54"/>
      <c r="D48" s="54"/>
      <c r="E48" s="54"/>
      <c r="F48" s="54"/>
    </row>
    <row r="49" spans="1:6" ht="15" customHeight="1" x14ac:dyDescent="0.3">
      <c r="A49" s="9"/>
      <c r="B49" s="55" t="s">
        <v>81</v>
      </c>
      <c r="C49" s="6"/>
      <c r="D49" s="439" t="s">
        <v>82</v>
      </c>
      <c r="E49" s="375"/>
      <c r="F49" s="6"/>
    </row>
    <row r="50" spans="1:6" ht="15" customHeight="1" x14ac:dyDescent="0.3">
      <c r="A50" s="9"/>
      <c r="B50" s="55"/>
      <c r="D50" s="24"/>
      <c r="E50" s="24"/>
    </row>
    <row r="51" spans="1:6" ht="15.75" customHeight="1" x14ac:dyDescent="0.3">
      <c r="A51" s="9"/>
      <c r="B51" s="56" t="s">
        <v>83</v>
      </c>
      <c r="C51" s="57"/>
      <c r="D51" s="440">
        <v>5</v>
      </c>
      <c r="E51" s="441"/>
      <c r="F51" s="58"/>
    </row>
    <row r="52" spans="1:6" ht="15.75" customHeight="1" x14ac:dyDescent="0.3">
      <c r="A52" s="9"/>
      <c r="B52" s="59" t="s">
        <v>84</v>
      </c>
      <c r="C52" s="60" t="s">
        <v>85</v>
      </c>
      <c r="D52" s="442" t="s">
        <v>86</v>
      </c>
      <c r="E52" s="443"/>
      <c r="F52" s="61" t="s">
        <v>87</v>
      </c>
    </row>
    <row r="53" spans="1:6" ht="15.75" customHeight="1" x14ac:dyDescent="0.3">
      <c r="A53" s="9"/>
      <c r="B53" s="62">
        <f>C6</f>
        <v>44742</v>
      </c>
      <c r="C53" s="63"/>
      <c r="D53" s="64">
        <f>1</f>
        <v>1</v>
      </c>
      <c r="E53" s="65">
        <f t="shared" ref="E53:E63" si="20">C53*D53</f>
        <v>0</v>
      </c>
      <c r="F53" s="66">
        <v>0</v>
      </c>
    </row>
    <row r="54" spans="1:6" ht="15.75" customHeight="1" x14ac:dyDescent="0.3">
      <c r="A54" s="9"/>
      <c r="B54" s="67">
        <f>IF(D7="","",-1)</f>
        <v>-1</v>
      </c>
      <c r="C54" s="63"/>
      <c r="D54" s="64">
        <f t="shared" ref="D54:D63" si="21">IF(B54&lt;0,(D$51+B54)/D$51,0)</f>
        <v>0.8</v>
      </c>
      <c r="E54" s="65">
        <f t="shared" si="20"/>
        <v>0</v>
      </c>
      <c r="F54" s="66">
        <f t="shared" ref="F54:F63" si="22">IF(B54&lt;0,C54/$D$51,0)</f>
        <v>0</v>
      </c>
    </row>
    <row r="55" spans="1:6" ht="15.75" customHeight="1" x14ac:dyDescent="0.3">
      <c r="A55" s="9"/>
      <c r="B55" s="67">
        <f t="shared" ref="B55:B63" si="23">IF((0-B54)&lt;$D$51,IF(B54&gt;-1, ,B54-1), )</f>
        <v>-2</v>
      </c>
      <c r="C55" s="63"/>
      <c r="D55" s="64">
        <f t="shared" si="21"/>
        <v>0.6</v>
      </c>
      <c r="E55" s="65">
        <f t="shared" si="20"/>
        <v>0</v>
      </c>
      <c r="F55" s="66">
        <f t="shared" si="22"/>
        <v>0</v>
      </c>
    </row>
    <row r="56" spans="1:6" ht="15.75" customHeight="1" x14ac:dyDescent="0.3">
      <c r="A56" s="9"/>
      <c r="B56" s="67">
        <f t="shared" si="23"/>
        <v>-3</v>
      </c>
      <c r="C56" s="63"/>
      <c r="D56" s="64">
        <f t="shared" si="21"/>
        <v>0.4</v>
      </c>
      <c r="E56" s="65">
        <f t="shared" si="20"/>
        <v>0</v>
      </c>
      <c r="F56" s="66">
        <f t="shared" si="22"/>
        <v>0</v>
      </c>
    </row>
    <row r="57" spans="1:6" ht="15.75" customHeight="1" x14ac:dyDescent="0.3">
      <c r="A57" s="9"/>
      <c r="B57" s="67">
        <f t="shared" si="23"/>
        <v>-4</v>
      </c>
      <c r="C57" s="63"/>
      <c r="D57" s="64">
        <f t="shared" si="21"/>
        <v>0.2</v>
      </c>
      <c r="E57" s="65">
        <f t="shared" si="20"/>
        <v>0</v>
      </c>
      <c r="F57" s="66">
        <f t="shared" si="22"/>
        <v>0</v>
      </c>
    </row>
    <row r="58" spans="1:6" ht="15.75" customHeight="1" x14ac:dyDescent="0.3">
      <c r="A58" s="9"/>
      <c r="B58" s="67">
        <f t="shared" si="23"/>
        <v>-5</v>
      </c>
      <c r="C58" s="63"/>
      <c r="D58" s="64">
        <f t="shared" si="21"/>
        <v>0</v>
      </c>
      <c r="E58" s="65">
        <f t="shared" si="20"/>
        <v>0</v>
      </c>
      <c r="F58" s="66">
        <f t="shared" si="22"/>
        <v>0</v>
      </c>
    </row>
    <row r="59" spans="1:6" ht="15.75" customHeight="1" x14ac:dyDescent="0.3">
      <c r="A59" s="9"/>
      <c r="B59" s="67">
        <f t="shared" si="23"/>
        <v>0</v>
      </c>
      <c r="C59" s="63"/>
      <c r="D59" s="64">
        <f t="shared" si="21"/>
        <v>0</v>
      </c>
      <c r="E59" s="65">
        <f t="shared" si="20"/>
        <v>0</v>
      </c>
      <c r="F59" s="66">
        <f t="shared" si="22"/>
        <v>0</v>
      </c>
    </row>
    <row r="60" spans="1:6" ht="15.75" customHeight="1" x14ac:dyDescent="0.3">
      <c r="A60" s="9"/>
      <c r="B60" s="67">
        <f t="shared" si="23"/>
        <v>0</v>
      </c>
      <c r="C60" s="63"/>
      <c r="D60" s="64">
        <f t="shared" si="21"/>
        <v>0</v>
      </c>
      <c r="E60" s="65">
        <f t="shared" si="20"/>
        <v>0</v>
      </c>
      <c r="F60" s="66">
        <f t="shared" si="22"/>
        <v>0</v>
      </c>
    </row>
    <row r="61" spans="1:6" ht="15.75" customHeight="1" x14ac:dyDescent="0.3">
      <c r="A61" s="9"/>
      <c r="B61" s="67">
        <f t="shared" si="23"/>
        <v>0</v>
      </c>
      <c r="C61" s="63"/>
      <c r="D61" s="64">
        <f t="shared" si="21"/>
        <v>0</v>
      </c>
      <c r="E61" s="65">
        <f t="shared" si="20"/>
        <v>0</v>
      </c>
      <c r="F61" s="66">
        <f t="shared" si="22"/>
        <v>0</v>
      </c>
    </row>
    <row r="62" spans="1:6" ht="15.75" customHeight="1" x14ac:dyDescent="0.3">
      <c r="A62" s="9"/>
      <c r="B62" s="67">
        <f t="shared" si="23"/>
        <v>0</v>
      </c>
      <c r="C62" s="63"/>
      <c r="D62" s="64">
        <f t="shared" si="21"/>
        <v>0</v>
      </c>
      <c r="E62" s="65">
        <f t="shared" si="20"/>
        <v>0</v>
      </c>
      <c r="F62" s="66">
        <f t="shared" si="22"/>
        <v>0</v>
      </c>
    </row>
    <row r="63" spans="1:6" ht="15.75" customHeight="1" x14ac:dyDescent="0.3">
      <c r="A63" s="9"/>
      <c r="B63" s="67">
        <f t="shared" si="23"/>
        <v>0</v>
      </c>
      <c r="C63" s="63"/>
      <c r="D63" s="64">
        <f t="shared" si="21"/>
        <v>0</v>
      </c>
      <c r="E63" s="65">
        <f t="shared" si="20"/>
        <v>0</v>
      </c>
      <c r="F63" s="66">
        <f t="shared" si="22"/>
        <v>0</v>
      </c>
    </row>
    <row r="64" spans="1:6" ht="15.75" customHeight="1" x14ac:dyDescent="0.3">
      <c r="A64" s="9"/>
      <c r="B64" s="68" t="s">
        <v>88</v>
      </c>
      <c r="C64" s="55"/>
      <c r="D64" s="55"/>
      <c r="E64" s="65">
        <f>SUM(E53:E63)</f>
        <v>0</v>
      </c>
      <c r="F64" s="69"/>
    </row>
    <row r="65" spans="1:6" ht="15.75" customHeight="1" x14ac:dyDescent="0.3">
      <c r="A65" s="9"/>
      <c r="B65" s="68" t="s">
        <v>89</v>
      </c>
      <c r="C65" s="55"/>
      <c r="D65" s="55"/>
      <c r="E65" s="55"/>
      <c r="F65" s="66">
        <f>SUM(F54:F63)</f>
        <v>0</v>
      </c>
    </row>
    <row r="66" spans="1:6" ht="15.75" customHeight="1" x14ac:dyDescent="0.3">
      <c r="A66" s="9"/>
      <c r="B66" s="68"/>
      <c r="C66" s="55"/>
      <c r="D66" s="55"/>
      <c r="E66" s="55"/>
      <c r="F66" s="69"/>
    </row>
    <row r="67" spans="1:6" ht="15.75" customHeight="1" x14ac:dyDescent="0.3">
      <c r="A67" s="9"/>
      <c r="B67" s="70"/>
      <c r="C67" s="71" t="s">
        <v>90</v>
      </c>
      <c r="D67" s="71" t="s">
        <v>91</v>
      </c>
      <c r="E67" s="72" t="s">
        <v>92</v>
      </c>
      <c r="F67" s="73" t="s">
        <v>93</v>
      </c>
    </row>
    <row r="68" spans="1:6" ht="15.75" customHeight="1" x14ac:dyDescent="0.3">
      <c r="A68" s="9"/>
      <c r="B68" s="68" t="s">
        <v>94</v>
      </c>
      <c r="C68" s="74">
        <f>C14</f>
        <v>7384827</v>
      </c>
      <c r="D68" s="74">
        <f>C68+C53-F65</f>
        <v>7384827</v>
      </c>
      <c r="E68" s="55" t="s">
        <v>95</v>
      </c>
      <c r="F68" s="69" t="s">
        <v>96</v>
      </c>
    </row>
    <row r="69" spans="1:6" ht="15.75" customHeight="1" x14ac:dyDescent="0.3">
      <c r="A69" s="9"/>
      <c r="B69" s="68" t="s">
        <v>97</v>
      </c>
      <c r="C69" s="75">
        <f t="shared" ref="C69:D69" si="24">C68/$C$7</f>
        <v>0.47478104591089182</v>
      </c>
      <c r="D69" s="75">
        <f t="shared" si="24"/>
        <v>0.47478104591089182</v>
      </c>
      <c r="E69" s="55" t="s">
        <v>98</v>
      </c>
      <c r="F69" s="69" t="s">
        <v>99</v>
      </c>
    </row>
    <row r="70" spans="1:6" ht="15.75" customHeight="1" x14ac:dyDescent="0.3">
      <c r="A70" s="9"/>
      <c r="B70" s="68" t="s">
        <v>100</v>
      </c>
      <c r="C70" s="74">
        <f>C34</f>
        <v>-1439670.3859999999</v>
      </c>
      <c r="D70" s="74">
        <f>C70+E64-F65</f>
        <v>-1439670.3859999999</v>
      </c>
      <c r="E70" s="55" t="s">
        <v>101</v>
      </c>
      <c r="F70" s="69" t="s">
        <v>102</v>
      </c>
    </row>
    <row r="71" spans="1:6" ht="15.75" customHeight="1" x14ac:dyDescent="0.3">
      <c r="A71" s="9"/>
      <c r="B71" s="68" t="s">
        <v>103</v>
      </c>
      <c r="C71" s="74">
        <f>C16</f>
        <v>6166330.5449999999</v>
      </c>
      <c r="D71" s="74">
        <f>C71+C54</f>
        <v>6166330.5449999999</v>
      </c>
      <c r="E71" s="55" t="s">
        <v>104</v>
      </c>
      <c r="F71" s="69" t="s">
        <v>105</v>
      </c>
    </row>
    <row r="72" spans="1:6" ht="15.75" customHeight="1" x14ac:dyDescent="0.3">
      <c r="A72" s="9"/>
      <c r="B72" s="68" t="s">
        <v>106</v>
      </c>
      <c r="C72" s="74">
        <f>F3</f>
        <v>5735396</v>
      </c>
      <c r="D72" s="74">
        <f>C72+C53-F65</f>
        <v>5735396</v>
      </c>
      <c r="E72" s="55" t="s">
        <v>107</v>
      </c>
      <c r="F72" s="69" t="s">
        <v>105</v>
      </c>
    </row>
    <row r="73" spans="1:6" ht="15.75" customHeight="1" x14ac:dyDescent="0.3">
      <c r="A73" s="9"/>
      <c r="B73" s="76" t="s">
        <v>108</v>
      </c>
      <c r="C73" s="77" t="e">
        <f>#REF!</f>
        <v>#REF!</v>
      </c>
      <c r="D73" s="77" t="e">
        <f>C73+E64</f>
        <v>#REF!</v>
      </c>
      <c r="E73" s="8" t="s">
        <v>109</v>
      </c>
      <c r="F73" s="78" t="s">
        <v>105</v>
      </c>
    </row>
    <row r="74" spans="1:6" ht="15.75" customHeight="1" x14ac:dyDescent="0.3">
      <c r="A74" s="9"/>
      <c r="B74" s="55"/>
      <c r="C74" s="79"/>
      <c r="D74" s="79"/>
    </row>
    <row r="75" spans="1:6" ht="15.75" customHeight="1" x14ac:dyDescent="0.3">
      <c r="A75" s="9"/>
      <c r="B75" s="55"/>
      <c r="C75" s="79"/>
      <c r="D75" s="79"/>
    </row>
    <row r="76" spans="1:6" ht="15.75" customHeight="1" x14ac:dyDescent="0.3">
      <c r="A76" s="9"/>
      <c r="B76" s="55"/>
      <c r="C76" s="79"/>
      <c r="D76" s="79"/>
    </row>
    <row r="77" spans="1:6" ht="15.75" customHeight="1" x14ac:dyDescent="0.3">
      <c r="A77" s="9"/>
      <c r="B77" s="55"/>
      <c r="C77" s="80"/>
      <c r="D77" s="80"/>
    </row>
    <row r="78" spans="1:6" ht="15.75" customHeight="1" x14ac:dyDescent="0.3">
      <c r="A78" s="9"/>
      <c r="B78" s="55"/>
      <c r="C78" s="79"/>
      <c r="D78" s="79"/>
    </row>
    <row r="79" spans="1:6" ht="15.75" customHeight="1" x14ac:dyDescent="0.3">
      <c r="A79" s="9"/>
      <c r="B79" s="55"/>
      <c r="C79" s="80"/>
      <c r="D79" s="80"/>
    </row>
    <row r="80" spans="1:6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>
      <c r="A259" s="9"/>
    </row>
    <row r="260" spans="1:1" ht="15.75" customHeight="1" x14ac:dyDescent="0.3">
      <c r="A260" s="9"/>
    </row>
    <row r="261" spans="1:1" ht="15.75" customHeight="1" x14ac:dyDescent="0.3">
      <c r="A261" s="9"/>
    </row>
    <row r="262" spans="1:1" ht="15.75" customHeight="1" x14ac:dyDescent="0.3">
      <c r="A262" s="9"/>
    </row>
    <row r="263" spans="1:1" ht="15.75" customHeight="1" x14ac:dyDescent="0.3">
      <c r="A263" s="9"/>
    </row>
    <row r="264" spans="1:1" ht="15.75" customHeight="1" x14ac:dyDescent="0.3">
      <c r="A264" s="9"/>
    </row>
    <row r="265" spans="1:1" ht="15.75" customHeight="1" x14ac:dyDescent="0.3">
      <c r="A265" s="9"/>
    </row>
    <row r="266" spans="1:1" ht="15.75" customHeight="1" x14ac:dyDescent="0.3">
      <c r="A266" s="9"/>
    </row>
    <row r="267" spans="1:1" ht="15.75" customHeight="1" x14ac:dyDescent="0.3">
      <c r="A267" s="9"/>
    </row>
    <row r="268" spans="1:1" ht="15.75" customHeight="1" x14ac:dyDescent="0.3">
      <c r="A268" s="9"/>
    </row>
    <row r="269" spans="1:1" ht="15.75" customHeight="1" x14ac:dyDescent="0.3">
      <c r="A269" s="9"/>
    </row>
    <row r="270" spans="1:1" ht="15.75" customHeight="1" x14ac:dyDescent="0.3">
      <c r="A270" s="9"/>
    </row>
    <row r="271" spans="1:1" ht="15.75" customHeight="1" x14ac:dyDescent="0.3">
      <c r="A271" s="9"/>
    </row>
    <row r="272" spans="1:1" ht="15.75" customHeight="1" x14ac:dyDescent="0.3">
      <c r="A272" s="9"/>
    </row>
    <row r="273" spans="1:1" ht="15.75" customHeight="1" x14ac:dyDescent="0.3">
      <c r="A273" s="9"/>
    </row>
    <row r="274" spans="1:1" ht="15.75" customHeight="1" x14ac:dyDescent="0.3">
      <c r="A274" s="9"/>
    </row>
    <row r="275" spans="1:1" ht="15.75" customHeight="1" x14ac:dyDescent="0.3">
      <c r="A275" s="9"/>
    </row>
    <row r="276" spans="1:1" ht="15.75" customHeight="1" x14ac:dyDescent="0.3">
      <c r="A276" s="9"/>
    </row>
    <row r="277" spans="1:1" ht="15.75" customHeight="1" x14ac:dyDescent="0.3">
      <c r="A277" s="9"/>
    </row>
    <row r="278" spans="1:1" ht="15.75" customHeight="1" x14ac:dyDescent="0.3">
      <c r="A278" s="9"/>
    </row>
    <row r="279" spans="1:1" ht="15.75" customHeight="1" x14ac:dyDescent="0.3">
      <c r="A279" s="9"/>
    </row>
    <row r="280" spans="1:1" ht="15.75" customHeight="1" x14ac:dyDescent="0.3"/>
    <row r="281" spans="1:1" ht="15.75" customHeight="1" x14ac:dyDescent="0.3"/>
    <row r="282" spans="1:1" ht="15.75" customHeight="1" x14ac:dyDescent="0.3"/>
    <row r="283" spans="1:1" ht="15.75" customHeight="1" x14ac:dyDescent="0.3"/>
    <row r="284" spans="1:1" ht="15.75" customHeight="1" x14ac:dyDescent="0.3"/>
    <row r="285" spans="1:1" ht="15.75" customHeight="1" x14ac:dyDescent="0.3"/>
    <row r="286" spans="1:1" ht="15.75" customHeight="1" x14ac:dyDescent="0.3"/>
    <row r="287" spans="1:1" ht="15.75" customHeight="1" x14ac:dyDescent="0.3"/>
    <row r="288" spans="1:1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</sheetData>
  <mergeCells count="3">
    <mergeCell ref="D49:E49"/>
    <mergeCell ref="D51:E51"/>
    <mergeCell ref="D52:E52"/>
  </mergeCells>
  <conditionalFormatting sqref="B51:F73">
    <cfRule type="expression" dxfId="9" priority="1">
      <formula>$D$49="No"</formula>
    </cfRule>
  </conditionalFormatting>
  <conditionalFormatting sqref="D42:M46 C7:M35">
    <cfRule type="containsBlanks" dxfId="8" priority="2">
      <formula>LEN(TRIM(C7))=0</formula>
    </cfRule>
  </conditionalFormatting>
  <conditionalFormatting sqref="D17:M18">
    <cfRule type="containsBlanks" dxfId="7" priority="3">
      <formula>LEN(TRIM(D17))=0</formula>
    </cfRule>
  </conditionalFormatting>
  <conditionalFormatting sqref="C37:M40">
    <cfRule type="containsBlanks" dxfId="6" priority="4">
      <formula>LEN(TRIM(C37))=0</formula>
    </cfRule>
  </conditionalFormatting>
  <dataValidations count="3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D49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J65"/>
  <sheetViews>
    <sheetView showGridLines="0" topLeftCell="A20" workbookViewId="0">
      <selection activeCell="F33" sqref="F33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6384" width="12.453125" style="3"/>
  </cols>
  <sheetData>
    <row r="2" spans="1:10" ht="15" customHeight="1" x14ac:dyDescent="0.3">
      <c r="A2" s="4"/>
      <c r="B2" s="326" t="s">
        <v>110</v>
      </c>
      <c r="C2" s="326"/>
      <c r="D2" s="11"/>
      <c r="E2" s="12"/>
      <c r="F2" s="12"/>
      <c r="G2" s="12"/>
      <c r="H2" s="12"/>
      <c r="I2" s="12"/>
    </row>
    <row r="3" spans="1:10" ht="15" customHeight="1" x14ac:dyDescent="0.3">
      <c r="B3" s="5" t="s">
        <v>341</v>
      </c>
      <c r="C3" s="6"/>
      <c r="D3" s="333">
        <v>160090995.734</v>
      </c>
      <c r="E3" s="190" t="str">
        <f>IF((C46-I46)=D3,"", "Error!")</f>
        <v/>
      </c>
      <c r="F3" s="6"/>
      <c r="G3" s="6"/>
      <c r="H3" s="334" t="s">
        <v>342</v>
      </c>
      <c r="I3" s="335">
        <v>159323330.11500001</v>
      </c>
    </row>
    <row r="4" spans="1:10" ht="15" customHeight="1" x14ac:dyDescent="0.3">
      <c r="B4" s="5" t="s">
        <v>300</v>
      </c>
      <c r="C4" s="6"/>
      <c r="D4" s="336">
        <f>D3-I3</f>
        <v>767665.61899998784</v>
      </c>
      <c r="E4" s="184"/>
      <c r="F4" s="6"/>
      <c r="G4" s="6"/>
      <c r="H4" s="83" t="s">
        <v>111</v>
      </c>
      <c r="I4" s="119">
        <f>(I3*Dashboard!I12*Data!C4)/Dashboard!I5</f>
        <v>19.764073425513189</v>
      </c>
    </row>
    <row r="5" spans="1:10" ht="15" customHeight="1" x14ac:dyDescent="0.3">
      <c r="D5" s="6"/>
      <c r="E5" s="24" t="s">
        <v>112</v>
      </c>
      <c r="I5" s="6"/>
    </row>
    <row r="6" spans="1:10" ht="15" customHeight="1" x14ac:dyDescent="0.3">
      <c r="B6" s="81" t="s">
        <v>113</v>
      </c>
      <c r="C6" s="6"/>
      <c r="D6" s="82">
        <f>E46-I46-E50</f>
        <v>103077905.49021</v>
      </c>
      <c r="E6" s="14">
        <f>1-D6/D3</f>
        <v>0.35612927499383151</v>
      </c>
      <c r="F6" s="6"/>
      <c r="G6" s="6"/>
      <c r="H6" s="83" t="s">
        <v>114</v>
      </c>
      <c r="I6" s="28">
        <f>IF(Data!F3&lt;=0,"NNI",D7/((Data!F3*Dashboard!I12)/(Dashboard!I5/Data!C4)))</f>
        <v>17.97223861965416</v>
      </c>
      <c r="J6" s="6"/>
    </row>
    <row r="7" spans="1:10" ht="15" customHeight="1" x14ac:dyDescent="0.3">
      <c r="B7" s="55" t="s">
        <v>115</v>
      </c>
      <c r="D7" s="84">
        <f>MAX((D6*Dashboard!I12*Data!C4)/Dashboard!I5, 0)</f>
        <v>12.78682344378651</v>
      </c>
      <c r="E7" s="85"/>
      <c r="H7" s="83" t="s">
        <v>116</v>
      </c>
      <c r="I7" s="28">
        <f>D7/(Data!C28*Dashboard!I12*Data!C4/Common_Shares)</f>
        <v>0.65144961504557519</v>
      </c>
      <c r="J7" s="6"/>
    </row>
    <row r="8" spans="1:10" ht="15" customHeight="1" x14ac:dyDescent="0.3">
      <c r="D8" s="6"/>
      <c r="I8" s="6"/>
    </row>
    <row r="9" spans="1:10" ht="15" customHeight="1" x14ac:dyDescent="0.3">
      <c r="A9" s="4"/>
      <c r="B9" s="327" t="s">
        <v>337</v>
      </c>
      <c r="C9" s="309"/>
      <c r="D9" s="331">
        <v>44926</v>
      </c>
      <c r="E9" s="328" t="str">
        <f>IF(D9=Data!C3,"FY","Quarter")</f>
        <v>Quarter</v>
      </c>
      <c r="F9" s="163"/>
      <c r="G9" s="163"/>
      <c r="H9" s="163"/>
      <c r="I9" s="163"/>
    </row>
    <row r="10" spans="1:10" ht="15" customHeight="1" x14ac:dyDescent="0.3">
      <c r="B10" s="5" t="s">
        <v>117</v>
      </c>
      <c r="C10" s="24" t="s">
        <v>118</v>
      </c>
      <c r="D10" s="24" t="s">
        <v>119</v>
      </c>
      <c r="E10" s="24" t="s">
        <v>120</v>
      </c>
      <c r="F10" s="32" t="s">
        <v>317</v>
      </c>
      <c r="G10" s="6"/>
      <c r="H10" s="86" t="s">
        <v>121</v>
      </c>
      <c r="I10" s="24" t="s">
        <v>118</v>
      </c>
    </row>
    <row r="11" spans="1:10" ht="15" customHeight="1" x14ac:dyDescent="0.3">
      <c r="B11" s="5" t="s">
        <v>122</v>
      </c>
      <c r="C11" s="87">
        <v>3379024.0260000001</v>
      </c>
      <c r="D11" s="88">
        <v>1</v>
      </c>
      <c r="E11" s="29">
        <f t="shared" ref="E11:E21" si="0">C11*D11</f>
        <v>3379024.0260000001</v>
      </c>
      <c r="F11" s="6"/>
      <c r="G11" s="6"/>
      <c r="H11" s="5" t="s">
        <v>123</v>
      </c>
      <c r="I11" s="87">
        <v>2230528</v>
      </c>
      <c r="J11" s="6"/>
    </row>
    <row r="12" spans="1:10" ht="14" x14ac:dyDescent="0.3">
      <c r="B12" s="3" t="s">
        <v>124</v>
      </c>
      <c r="C12" s="87">
        <v>41083645.866999999</v>
      </c>
      <c r="D12" s="88">
        <v>0.98</v>
      </c>
      <c r="E12" s="29">
        <f t="shared" si="0"/>
        <v>40261972.949659996</v>
      </c>
      <c r="F12" s="6"/>
      <c r="G12" s="6"/>
      <c r="H12" s="5" t="s">
        <v>125</v>
      </c>
      <c r="I12" s="87">
        <v>40711.811999999998</v>
      </c>
      <c r="J12" s="6"/>
    </row>
    <row r="13" spans="1:10" ht="14" x14ac:dyDescent="0.3">
      <c r="B13" s="5" t="s">
        <v>126</v>
      </c>
      <c r="C13" s="87">
        <v>0</v>
      </c>
      <c r="D13" s="88">
        <v>1</v>
      </c>
      <c r="E13" s="29">
        <f t="shared" si="0"/>
        <v>0</v>
      </c>
      <c r="F13" s="6"/>
      <c r="G13" s="6"/>
      <c r="H13" s="5" t="s">
        <v>127</v>
      </c>
      <c r="I13" s="87">
        <f>789160.293+906226.518</f>
        <v>1695386.811</v>
      </c>
      <c r="J13" s="6"/>
    </row>
    <row r="14" spans="1:10" ht="14" x14ac:dyDescent="0.3">
      <c r="B14" s="5" t="s">
        <v>128</v>
      </c>
      <c r="C14" s="87">
        <v>9150.4850000000006</v>
      </c>
      <c r="D14" s="88">
        <v>0.6</v>
      </c>
      <c r="E14" s="29">
        <f t="shared" si="0"/>
        <v>5490.2910000000002</v>
      </c>
      <c r="F14" s="6"/>
      <c r="G14" s="6"/>
      <c r="H14" s="3" t="s">
        <v>129</v>
      </c>
      <c r="I14" s="87">
        <v>0</v>
      </c>
      <c r="J14" s="6"/>
    </row>
    <row r="15" spans="1:10" ht="14" x14ac:dyDescent="0.3">
      <c r="B15" s="5" t="s">
        <v>130</v>
      </c>
      <c r="C15" s="87">
        <v>0</v>
      </c>
      <c r="D15" s="88">
        <v>0.8</v>
      </c>
      <c r="E15" s="29">
        <f t="shared" si="0"/>
        <v>0</v>
      </c>
      <c r="G15" s="6"/>
      <c r="H15" s="5" t="s">
        <v>131</v>
      </c>
      <c r="I15" s="189">
        <f>I26-SUM(I11:I14)</f>
        <v>9867916.8460000008</v>
      </c>
      <c r="J15" s="6"/>
    </row>
    <row r="16" spans="1:10" ht="14" x14ac:dyDescent="0.3">
      <c r="B16" s="3" t="s">
        <v>129</v>
      </c>
      <c r="C16" s="87">
        <v>0</v>
      </c>
      <c r="D16" s="88">
        <v>0.5</v>
      </c>
      <c r="E16" s="29">
        <f t="shared" si="0"/>
        <v>0</v>
      </c>
      <c r="F16" s="248" t="s">
        <v>318</v>
      </c>
      <c r="G16" s="122">
        <f>IF(F16="Y",0,1)</f>
        <v>0</v>
      </c>
      <c r="H16" s="5"/>
      <c r="I16" s="188"/>
      <c r="J16" s="6"/>
    </row>
    <row r="17" spans="2:10" ht="14" x14ac:dyDescent="0.3">
      <c r="B17" s="5" t="s">
        <v>132</v>
      </c>
      <c r="C17" s="87">
        <f>2259696.73+2882905.087+14024.915+1631152.458+52294.469</f>
        <v>6840073.6589999991</v>
      </c>
      <c r="D17" s="88">
        <v>0.5</v>
      </c>
      <c r="E17" s="29">
        <f t="shared" si="0"/>
        <v>3420036.8294999995</v>
      </c>
      <c r="F17" s="6"/>
      <c r="G17" s="6"/>
      <c r="H17" s="5"/>
      <c r="I17" s="188"/>
      <c r="J17" s="6"/>
    </row>
    <row r="18" spans="2:10" ht="14" x14ac:dyDescent="0.3">
      <c r="B18" s="5" t="s">
        <v>133</v>
      </c>
      <c r="C18" s="87">
        <v>13046.883</v>
      </c>
      <c r="D18" s="88">
        <v>0.6</v>
      </c>
      <c r="E18" s="29">
        <f t="shared" si="0"/>
        <v>7828.1297999999997</v>
      </c>
      <c r="G18" s="6"/>
    </row>
    <row r="19" spans="2:10" ht="14" x14ac:dyDescent="0.3">
      <c r="B19" s="3" t="s">
        <v>134</v>
      </c>
      <c r="C19" s="87">
        <v>8609555.8550000004</v>
      </c>
      <c r="D19" s="88">
        <v>0.75</v>
      </c>
      <c r="E19" s="29">
        <f t="shared" si="0"/>
        <v>6457166.8912500003</v>
      </c>
      <c r="F19" s="248" t="s">
        <v>318</v>
      </c>
      <c r="G19" s="122">
        <f>IF(F19="Y",0,1)</f>
        <v>0</v>
      </c>
      <c r="H19" s="5"/>
      <c r="I19" s="188"/>
    </row>
    <row r="20" spans="2:10" ht="14" x14ac:dyDescent="0.3">
      <c r="B20" s="5" t="s">
        <v>135</v>
      </c>
      <c r="C20" s="87">
        <v>7527029.5259999996</v>
      </c>
      <c r="D20" s="88">
        <v>0.6</v>
      </c>
      <c r="E20" s="29">
        <f t="shared" si="0"/>
        <v>4516217.7155999998</v>
      </c>
      <c r="F20" s="248" t="s">
        <v>318</v>
      </c>
      <c r="G20" s="122">
        <f>IF(F20="Y",0,1)</f>
        <v>0</v>
      </c>
      <c r="H20" s="5"/>
      <c r="I20" s="188"/>
    </row>
    <row r="21" spans="2:10" ht="14" x14ac:dyDescent="0.3">
      <c r="B21" s="5" t="s">
        <v>136</v>
      </c>
      <c r="C21" s="87">
        <v>75546.323999999993</v>
      </c>
      <c r="D21" s="88">
        <v>0.95</v>
      </c>
      <c r="E21" s="29">
        <f t="shared" si="0"/>
        <v>71769.007799999992</v>
      </c>
      <c r="F21" s="6"/>
      <c r="G21" s="6"/>
      <c r="H21" s="5"/>
      <c r="I21" s="188"/>
    </row>
    <row r="22" spans="2:10" ht="15" customHeight="1" x14ac:dyDescent="0.3">
      <c r="B22" s="5" t="s">
        <v>137</v>
      </c>
      <c r="C22" s="87">
        <v>0</v>
      </c>
      <c r="D22" s="88">
        <v>0</v>
      </c>
      <c r="E22" s="29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89" t="s">
        <v>138</v>
      </c>
      <c r="C24" s="93">
        <f>SUM(C11:C14)</f>
        <v>44471820.377999999</v>
      </c>
      <c r="D24" s="91">
        <f>IF(E24=0,0,E24/C24)</f>
        <v>0.98144143630000158</v>
      </c>
      <c r="E24" s="29">
        <f>SUM(E11:E14)</f>
        <v>43646487.266659997</v>
      </c>
      <c r="F24" s="6"/>
      <c r="G24" s="6"/>
      <c r="H24" s="89" t="s">
        <v>139</v>
      </c>
      <c r="I24" s="92">
        <f>E24/($I$26-I13)</f>
        <v>3.5955123157501965</v>
      </c>
      <c r="J24" s="13" t="str">
        <f>IF(I24&lt;1,"Liquidity Problem!","")</f>
        <v/>
      </c>
    </row>
    <row r="25" spans="2:10" ht="15" customHeight="1" x14ac:dyDescent="0.3">
      <c r="B25" s="89" t="s">
        <v>140</v>
      </c>
      <c r="C25" s="93">
        <f>C24+SUM(C15:C17)</f>
        <v>51311894.037</v>
      </c>
      <c r="D25" s="91">
        <f>IF(E25=0,0,E25/C25)</f>
        <v>0.91726343335175364</v>
      </c>
      <c r="E25" s="29">
        <f>E24+SUM(E15:E17)</f>
        <v>47066524.096159995</v>
      </c>
      <c r="F25" s="6"/>
      <c r="G25" s="6"/>
      <c r="H25" s="89" t="s">
        <v>141</v>
      </c>
      <c r="I25" s="92">
        <f>E25/$I$26</f>
        <v>3.4021017174600048</v>
      </c>
      <c r="J25" s="13"/>
    </row>
    <row r="26" spans="2:10" ht="15" customHeight="1" x14ac:dyDescent="0.3">
      <c r="B26" s="5" t="s">
        <v>142</v>
      </c>
      <c r="C26" s="93">
        <f>SUM(C11:C22)</f>
        <v>67537072.625</v>
      </c>
      <c r="D26" s="14">
        <f t="shared" ref="D26" si="2">E26/C26</f>
        <v>0.86055707749311094</v>
      </c>
      <c r="E26" s="29">
        <f>SUM(E11:E22)</f>
        <v>58119505.84060999</v>
      </c>
      <c r="H26" s="5" t="s">
        <v>61</v>
      </c>
      <c r="I26" s="87">
        <v>13834543.469000001</v>
      </c>
    </row>
    <row r="27" spans="2:10" ht="15" customHeight="1" x14ac:dyDescent="0.3">
      <c r="C27" s="6"/>
      <c r="D27" s="6"/>
      <c r="E27" s="6"/>
      <c r="F27" s="32" t="s">
        <v>317</v>
      </c>
      <c r="G27" s="6"/>
      <c r="I27" s="6"/>
      <c r="J27" s="6"/>
    </row>
    <row r="28" spans="2:10" ht="15" customHeight="1" x14ac:dyDescent="0.3">
      <c r="B28" s="5" t="s">
        <v>143</v>
      </c>
      <c r="C28" s="87">
        <v>0</v>
      </c>
      <c r="D28" s="88">
        <v>0.95</v>
      </c>
      <c r="E28" s="29">
        <v>0</v>
      </c>
      <c r="F28" s="6"/>
      <c r="G28" s="6"/>
      <c r="H28" s="5" t="s">
        <v>144</v>
      </c>
      <c r="I28" s="87">
        <v>997248.75199999998</v>
      </c>
      <c r="J28" s="6"/>
    </row>
    <row r="29" spans="2:10" ht="15" customHeight="1" x14ac:dyDescent="0.3">
      <c r="B29" s="5" t="s">
        <v>145</v>
      </c>
      <c r="C29" s="87">
        <v>941238.06900000002</v>
      </c>
      <c r="D29" s="88">
        <v>0.6</v>
      </c>
      <c r="E29" s="29">
        <f t="shared" ref="E29:E40" si="3">C29*D29</f>
        <v>564742.84140000003</v>
      </c>
      <c r="F29" s="6"/>
      <c r="G29" s="6"/>
      <c r="H29" s="5" t="s">
        <v>146</v>
      </c>
      <c r="I29" s="87">
        <v>35896.328000000001</v>
      </c>
      <c r="J29" s="6"/>
    </row>
    <row r="30" spans="2:10" ht="15" customHeight="1" x14ac:dyDescent="0.3">
      <c r="B30" s="5" t="s">
        <v>147</v>
      </c>
      <c r="C30" s="87">
        <v>0</v>
      </c>
      <c r="D30" s="88">
        <v>0</v>
      </c>
      <c r="E30" s="29">
        <f t="shared" si="3"/>
        <v>0</v>
      </c>
      <c r="F30" s="6"/>
      <c r="G30" s="6"/>
      <c r="H30" s="5" t="s">
        <v>149</v>
      </c>
      <c r="I30" s="87">
        <f>1602248.456+137498.192</f>
        <v>1739746.648</v>
      </c>
      <c r="J30" s="6"/>
    </row>
    <row r="31" spans="2:10" ht="14" x14ac:dyDescent="0.3">
      <c r="B31" s="3" t="s">
        <v>148</v>
      </c>
      <c r="C31" s="87">
        <v>0</v>
      </c>
      <c r="D31" s="88">
        <v>0.3</v>
      </c>
      <c r="E31" s="29">
        <f t="shared" si="3"/>
        <v>0</v>
      </c>
      <c r="F31" s="6"/>
      <c r="G31" s="6"/>
      <c r="H31" s="3" t="s">
        <v>148</v>
      </c>
      <c r="I31" s="87">
        <v>0</v>
      </c>
      <c r="J31" s="6"/>
    </row>
    <row r="32" spans="2:10" ht="14" x14ac:dyDescent="0.3">
      <c r="B32" s="5" t="s">
        <v>150</v>
      </c>
      <c r="C32" s="87">
        <f>3954189.337+12854360.551+3101161.686</f>
        <v>19909711.574000001</v>
      </c>
      <c r="D32" s="88">
        <v>0.4</v>
      </c>
      <c r="E32" s="29">
        <f t="shared" si="3"/>
        <v>7963884.6296000006</v>
      </c>
      <c r="G32" s="6"/>
      <c r="H32" s="5" t="s">
        <v>151</v>
      </c>
      <c r="I32" s="189">
        <f>I42-SUM(I28:I31)</f>
        <v>2692468.8590000002</v>
      </c>
      <c r="J32" s="6"/>
    </row>
    <row r="33" spans="2:10" ht="14" x14ac:dyDescent="0.3">
      <c r="B33" s="5" t="s">
        <v>152</v>
      </c>
      <c r="C33" s="87">
        <f>17037387.801+6022745.085</f>
        <v>23060132.886</v>
      </c>
      <c r="D33" s="88">
        <v>0.4</v>
      </c>
      <c r="E33" s="264">
        <f t="shared" si="3"/>
        <v>9224053.1544000003</v>
      </c>
      <c r="F33" s="248" t="s">
        <v>319</v>
      </c>
      <c r="G33" s="122">
        <f>IF(F33="Y",0,1)</f>
        <v>1</v>
      </c>
      <c r="J33" s="6"/>
    </row>
    <row r="34" spans="2:10" ht="14" x14ac:dyDescent="0.3">
      <c r="B34" s="5" t="s">
        <v>153</v>
      </c>
      <c r="C34" s="87">
        <f>64884096.656+1713509.881</f>
        <v>66597606.537</v>
      </c>
      <c r="D34" s="88">
        <v>0.7</v>
      </c>
      <c r="E34" s="264">
        <f t="shared" si="3"/>
        <v>46618324.575899996</v>
      </c>
      <c r="F34" s="248" t="s">
        <v>318</v>
      </c>
      <c r="G34" s="122">
        <f>IF(F34="Y",0,1)</f>
        <v>0</v>
      </c>
    </row>
    <row r="35" spans="2:10" ht="14" x14ac:dyDescent="0.3">
      <c r="B35" s="3" t="s">
        <v>135</v>
      </c>
      <c r="C35" s="87">
        <v>0</v>
      </c>
      <c r="D35" s="88">
        <v>0.4</v>
      </c>
      <c r="E35" s="29">
        <f t="shared" si="3"/>
        <v>0</v>
      </c>
      <c r="F35" s="248" t="s">
        <v>318</v>
      </c>
      <c r="G35" s="122">
        <f>IF(F35="Y",0,1)</f>
        <v>0</v>
      </c>
    </row>
    <row r="36" spans="2:10" ht="15" customHeight="1" x14ac:dyDescent="0.3">
      <c r="B36" s="5" t="s">
        <v>154</v>
      </c>
      <c r="C36" s="87">
        <v>114740.003</v>
      </c>
      <c r="D36" s="88">
        <v>0.3</v>
      </c>
      <c r="E36" s="29">
        <f t="shared" si="3"/>
        <v>34422.000899999999</v>
      </c>
      <c r="F36" s="6"/>
      <c r="G36" s="6"/>
    </row>
    <row r="37" spans="2:10" ht="14" x14ac:dyDescent="0.3">
      <c r="B37" s="5" t="s">
        <v>155</v>
      </c>
      <c r="C37" s="87">
        <v>1217891.264</v>
      </c>
      <c r="D37" s="88">
        <v>0.5</v>
      </c>
      <c r="E37" s="29">
        <f t="shared" si="3"/>
        <v>608945.63199999998</v>
      </c>
      <c r="F37" s="6"/>
      <c r="G37" s="6"/>
    </row>
    <row r="38" spans="2:10" ht="15" customHeight="1" x14ac:dyDescent="0.3">
      <c r="B38" s="5" t="s">
        <v>156</v>
      </c>
      <c r="C38" s="87">
        <v>0</v>
      </c>
      <c r="D38" s="88">
        <v>0.1</v>
      </c>
      <c r="E38" s="29">
        <f t="shared" si="3"/>
        <v>0</v>
      </c>
      <c r="F38" s="6"/>
      <c r="G38" s="6"/>
    </row>
    <row r="39" spans="2:10" ht="15" customHeight="1" x14ac:dyDescent="0.3">
      <c r="B39" s="5" t="s">
        <v>157</v>
      </c>
      <c r="C39" s="87">
        <v>12206.832</v>
      </c>
      <c r="D39" s="88">
        <v>0.95</v>
      </c>
      <c r="E39" s="29">
        <f t="shared" si="3"/>
        <v>11596.490400000001</v>
      </c>
      <c r="F39" s="6"/>
      <c r="G39" s="6"/>
    </row>
    <row r="40" spans="2:10" ht="15" customHeight="1" x14ac:dyDescent="0.3">
      <c r="B40" s="5" t="s">
        <v>158</v>
      </c>
      <c r="C40" s="87">
        <v>300</v>
      </c>
      <c r="D40" s="88">
        <v>0</v>
      </c>
      <c r="E40" s="29">
        <f t="shared" si="3"/>
        <v>0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159</v>
      </c>
      <c r="C42" s="90">
        <f>SUM(C28:C40)</f>
        <v>111853827.16500001</v>
      </c>
      <c r="D42" s="14">
        <f>E42/C42</f>
        <v>0.58134773724530331</v>
      </c>
      <c r="E42" s="29">
        <f>SUM(E28:E40)</f>
        <v>65025969.324599996</v>
      </c>
      <c r="F42" s="6"/>
      <c r="G42" s="6"/>
      <c r="H42" s="5" t="s">
        <v>160</v>
      </c>
      <c r="I42" s="87">
        <v>5465360.5870000003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89" t="s">
        <v>161</v>
      </c>
      <c r="C44" s="93">
        <f>C24+SUM(C28:C29)</f>
        <v>45413058.446999997</v>
      </c>
      <c r="D44" s="91">
        <f>IF(E44=0,0,E44/C44)</f>
        <v>0.97353562213074429</v>
      </c>
      <c r="E44" s="29">
        <f>E24+SUM(E28:E29)</f>
        <v>44211230.108059995</v>
      </c>
      <c r="F44" s="6"/>
      <c r="G44" s="6"/>
      <c r="H44" s="89" t="s">
        <v>162</v>
      </c>
      <c r="I44" s="92">
        <f>E44/$I$46</f>
        <v>2.290748699049387</v>
      </c>
      <c r="J44" s="13" t="str">
        <f>IF(I44&lt;1,"Liquidity Problem!","")</f>
        <v/>
      </c>
    </row>
    <row r="45" spans="2:10" ht="15" customHeight="1" x14ac:dyDescent="0.3">
      <c r="B45" s="89" t="s">
        <v>163</v>
      </c>
      <c r="C45" s="93">
        <f>C44+(C25-C24)+SUM(C30:C33)</f>
        <v>95222976.566</v>
      </c>
      <c r="D45" s="91">
        <f>IF(E45=0,0,E45/C45)</f>
        <v>0.680709709558734</v>
      </c>
      <c r="E45" s="29">
        <f>E44+(E25-E24)+SUM(E30:E33)</f>
        <v>64819204.721559994</v>
      </c>
      <c r="F45" s="6"/>
      <c r="G45" s="6"/>
      <c r="H45" s="89" t="s">
        <v>164</v>
      </c>
      <c r="I45" s="92">
        <f>E45/$I$46</f>
        <v>3.3585247125313473</v>
      </c>
      <c r="J45" s="6"/>
    </row>
    <row r="46" spans="2:10" ht="15" customHeight="1" x14ac:dyDescent="0.3">
      <c r="B46" s="5" t="s">
        <v>165</v>
      </c>
      <c r="C46" s="93">
        <f>C26+C42</f>
        <v>179390899.79000002</v>
      </c>
      <c r="D46" s="14">
        <f>E46/C46</f>
        <v>0.68646444891779623</v>
      </c>
      <c r="E46" s="29">
        <f>E26+E42</f>
        <v>123145475.16520998</v>
      </c>
      <c r="F46" s="6"/>
      <c r="G46" s="6"/>
      <c r="H46" s="5" t="s">
        <v>166</v>
      </c>
      <c r="I46" s="189">
        <f>I26+I42</f>
        <v>19299904.056000002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2" t="s">
        <v>167</v>
      </c>
      <c r="C48" s="22"/>
      <c r="D48" s="54"/>
    </row>
    <row r="49" spans="2:9" ht="14" x14ac:dyDescent="0.3">
      <c r="B49" s="260" t="s">
        <v>280</v>
      </c>
      <c r="C49" s="6"/>
      <c r="D49" s="261" t="str">
        <f>IF(E50=D4,"BV of the MI","P/B Approach")</f>
        <v>BV of the MI</v>
      </c>
      <c r="E49" s="6"/>
    </row>
    <row r="50" spans="2:9" ht="14" x14ac:dyDescent="0.3">
      <c r="B50" s="5" t="s">
        <v>279</v>
      </c>
      <c r="C50" s="262">
        <f>D4</f>
        <v>767665.61899998784</v>
      </c>
      <c r="D50" s="258">
        <f>IF(E50=0, 0,E50/C50)</f>
        <v>1</v>
      </c>
      <c r="E50" s="262">
        <f>MAX(C50,C50*Dashboard!I10)</f>
        <v>767665.61899998784</v>
      </c>
      <c r="I50" s="191"/>
    </row>
    <row r="51" spans="2:9" ht="15" customHeight="1" x14ac:dyDescent="0.3">
      <c r="C51" s="6"/>
      <c r="D51" s="6"/>
      <c r="E51" s="6"/>
    </row>
    <row r="52" spans="2:9" ht="14" x14ac:dyDescent="0.3">
      <c r="B52" s="98" t="s">
        <v>363</v>
      </c>
      <c r="C52" s="5"/>
      <c r="D52" s="429">
        <f>D53+D54+D55</f>
        <v>6739518.3509999998</v>
      </c>
      <c r="E52" s="444"/>
      <c r="F52" s="55"/>
      <c r="G52" s="55"/>
    </row>
    <row r="53" spans="2:9" ht="14" x14ac:dyDescent="0.3">
      <c r="B53" s="81" t="s">
        <v>311</v>
      </c>
      <c r="C53" s="6"/>
      <c r="D53" s="429">
        <f>SUM(I11:I13)+SUM(I28:I30)</f>
        <v>6739518.3509999998</v>
      </c>
      <c r="E53" s="444"/>
      <c r="F53" s="5"/>
      <c r="G53" s="5"/>
    </row>
    <row r="54" spans="2:9" ht="14" x14ac:dyDescent="0.3">
      <c r="B54" s="81" t="s">
        <v>169</v>
      </c>
      <c r="C54" s="6"/>
      <c r="D54" s="452">
        <v>0</v>
      </c>
      <c r="E54" s="375"/>
      <c r="F54" s="6" t="s">
        <v>170</v>
      </c>
      <c r="G54" s="6"/>
    </row>
    <row r="55" spans="2:9" ht="12.75" customHeight="1" x14ac:dyDescent="0.3">
      <c r="B55" s="81" t="s">
        <v>168</v>
      </c>
      <c r="C55" s="6"/>
      <c r="D55" s="452">
        <v>0</v>
      </c>
      <c r="E55" s="375"/>
      <c r="F55" s="5" t="s">
        <v>171</v>
      </c>
      <c r="G55" s="5"/>
    </row>
    <row r="56" spans="2:9" ht="15" customHeight="1" x14ac:dyDescent="0.3">
      <c r="D56" s="6"/>
      <c r="E56" s="6"/>
    </row>
    <row r="57" spans="2:9" ht="14" x14ac:dyDescent="0.3">
      <c r="B57" s="98" t="s">
        <v>172</v>
      </c>
      <c r="C57" s="5"/>
      <c r="D57" s="445"/>
      <c r="E57" s="445"/>
      <c r="F57" s="19"/>
      <c r="G57" s="19"/>
    </row>
    <row r="58" spans="2:9" ht="15" customHeight="1" x14ac:dyDescent="0.3">
      <c r="B58" s="55" t="s">
        <v>312</v>
      </c>
      <c r="C58" s="257">
        <f>C14+C15+(C19*G19)+(C20*G20)+C29+C30+(C33*G33)+(C34*G34)+(C35*G35)</f>
        <v>24010521.440000001</v>
      </c>
      <c r="D58" s="159">
        <f>IF(E58=0,0,E58/C58)</f>
        <v>0.40791643410473138</v>
      </c>
      <c r="E58" s="265">
        <f>E14+E15+(E19*G19)+(E20*G20)+E29+E30+(E33*G33)+(E34*G34)+(E35*G35)</f>
        <v>9794286.2868000008</v>
      </c>
      <c r="H58" s="6"/>
    </row>
    <row r="59" spans="2:9" ht="14" x14ac:dyDescent="0.3">
      <c r="B59" s="55" t="s">
        <v>122</v>
      </c>
      <c r="C59" s="257">
        <f>C11+C12+C28</f>
        <v>44462669.892999999</v>
      </c>
      <c r="D59" s="258">
        <f>IF(E59=0,0,E59/C59)</f>
        <v>0.98151993752697786</v>
      </c>
      <c r="E59" s="259">
        <f>E11+E12+E28</f>
        <v>43640996.975659996</v>
      </c>
      <c r="F59" s="6"/>
      <c r="G59" s="6"/>
    </row>
    <row r="60" spans="2:9" ht="14" x14ac:dyDescent="0.3">
      <c r="B60" s="55" t="s">
        <v>173</v>
      </c>
      <c r="C60" s="6"/>
      <c r="D60" s="450">
        <f>((Dashboard!I6*Data!C4)+D52+E50-C58-C59)</f>
        <v>19969040.78803999</v>
      </c>
      <c r="E60" s="451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371" t="s">
        <v>362</v>
      </c>
    </row>
    <row r="63" spans="2:9" ht="15" customHeight="1" x14ac:dyDescent="0.3">
      <c r="B63" s="3" t="s">
        <v>365</v>
      </c>
      <c r="D63" s="448">
        <f>((C26-C11-C12-C14-C15-C16*G16-C19*G19-C20*G20)-I26)/Data!C7</f>
        <v>0.5934554144758829</v>
      </c>
      <c r="E63" s="449"/>
    </row>
    <row r="64" spans="2:9" ht="15" customHeight="1" x14ac:dyDescent="0.3">
      <c r="B64" s="3" t="s">
        <v>364</v>
      </c>
      <c r="D64" s="446">
        <v>8.5599999999999996E-2</v>
      </c>
      <c r="E64" s="447"/>
      <c r="F64" s="325" t="s">
        <v>334</v>
      </c>
    </row>
    <row r="65" spans="2:5" ht="15" customHeight="1" x14ac:dyDescent="0.3">
      <c r="B65" s="371" t="s">
        <v>366</v>
      </c>
      <c r="D65" s="446">
        <v>0.15</v>
      </c>
      <c r="E65" s="447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2"/>
  <sheetViews>
    <sheetView showGridLines="0" zoomScaleNormal="100" zoomScalePageLayoutView="80" workbookViewId="0">
      <selection activeCell="C14" sqref="C14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120" t="s">
        <v>325</v>
      </c>
      <c r="C2" s="355" t="s">
        <v>359</v>
      </c>
      <c r="D2" s="355"/>
      <c r="E2" s="355">
        <v>1</v>
      </c>
      <c r="F2" s="355"/>
      <c r="G2" s="355">
        <v>2</v>
      </c>
      <c r="H2" s="12"/>
      <c r="I2" s="355">
        <v>3</v>
      </c>
      <c r="J2" s="355"/>
      <c r="K2" s="12"/>
      <c r="L2" s="12"/>
    </row>
    <row r="3" spans="1:13" ht="15.75" customHeight="1" x14ac:dyDescent="0.3">
      <c r="B3" s="31" t="str">
        <f>'FCFF Model'!B3</f>
        <v>(Numbers in 1000HKD)</v>
      </c>
      <c r="C3" s="337">
        <f>Data!C3</f>
        <v>44742</v>
      </c>
      <c r="D3" s="30" t="s">
        <v>329</v>
      </c>
      <c r="E3" s="337">
        <f>EOMONTH(EDATE(C3,12),0)</f>
        <v>45107</v>
      </c>
      <c r="F3" s="30" t="s">
        <v>329</v>
      </c>
      <c r="G3" s="337">
        <f>IF(G9="","",EOMONTH(EDATE(E3,12),0))</f>
        <v>45473</v>
      </c>
      <c r="H3" s="30"/>
      <c r="I3" s="337" t="str">
        <f>IF(I16="","",EOMONTH(EDATE(G3,12),0))</f>
        <v/>
      </c>
      <c r="J3" s="356"/>
      <c r="L3" s="95" t="s">
        <v>174</v>
      </c>
    </row>
    <row r="4" spans="1:13" ht="15.75" customHeight="1" x14ac:dyDescent="0.3">
      <c r="B4" s="17" t="s">
        <v>350</v>
      </c>
      <c r="C4" s="267">
        <v>11129690.461999999</v>
      </c>
      <c r="D4" s="315">
        <f>C4/C8</f>
        <v>0.71954007930541752</v>
      </c>
      <c r="E4" s="266">
        <f>3947351.849/0.7</f>
        <v>5639074.0700000003</v>
      </c>
      <c r="F4" s="315">
        <f>E4/E8</f>
        <v>0.53990943728418095</v>
      </c>
      <c r="G4" s="266">
        <f>E4*1.52</f>
        <v>8571392.5864000004</v>
      </c>
      <c r="H4" s="315">
        <f>G4/G8</f>
        <v>0.63096006033519247</v>
      </c>
      <c r="I4" s="266"/>
      <c r="J4" s="357"/>
      <c r="K4" s="6"/>
      <c r="L4" s="97" t="s">
        <v>355</v>
      </c>
      <c r="M4" s="80"/>
    </row>
    <row r="5" spans="1:13" ht="15.75" customHeight="1" x14ac:dyDescent="0.3">
      <c r="B5" s="17" t="s">
        <v>351</v>
      </c>
      <c r="C5" s="267">
        <v>1147617.763</v>
      </c>
      <c r="D5" s="315">
        <f>C5/C8</f>
        <v>7.4194064877248861E-2</v>
      </c>
      <c r="E5" s="266">
        <f>591321.795*2</f>
        <v>1182643.5900000001</v>
      </c>
      <c r="F5" s="315">
        <f>E5/E8</f>
        <v>0.11323143254698259</v>
      </c>
      <c r="G5" s="266">
        <f>E5*1.03</f>
        <v>1218122.8977000001</v>
      </c>
      <c r="H5" s="315">
        <f>G5/G8</f>
        <v>8.9668847772527399E-2</v>
      </c>
      <c r="I5" s="266"/>
      <c r="J5" s="358"/>
      <c r="K5" s="6"/>
      <c r="L5" s="97" t="s">
        <v>356</v>
      </c>
      <c r="M5" s="80"/>
    </row>
    <row r="6" spans="1:13" ht="15.75" customHeight="1" x14ac:dyDescent="0.3">
      <c r="B6" s="17" t="s">
        <v>352</v>
      </c>
      <c r="C6" s="267">
        <v>451993.272</v>
      </c>
      <c r="D6" s="315">
        <f>C6/C8</f>
        <v>2.9221592091066291E-2</v>
      </c>
      <c r="E6" s="266">
        <f>455151.15*2</f>
        <v>910302.3</v>
      </c>
      <c r="F6" s="315">
        <f>E6/E8</f>
        <v>8.7156294890004107E-2</v>
      </c>
      <c r="G6" s="266">
        <f>E6*1.1</f>
        <v>1001332.5300000001</v>
      </c>
      <c r="H6" s="315">
        <f>G6/G8</f>
        <v>7.3710406701806244E-2</v>
      </c>
      <c r="I6" s="266"/>
      <c r="J6" s="358"/>
      <c r="K6" s="6"/>
      <c r="L6" s="97" t="s">
        <v>358</v>
      </c>
      <c r="M6" s="80"/>
    </row>
    <row r="7" spans="1:13" ht="15.75" customHeight="1" x14ac:dyDescent="0.3">
      <c r="B7" s="17" t="s">
        <v>353</v>
      </c>
      <c r="C7" s="267">
        <v>2738482.4139999999</v>
      </c>
      <c r="D7" s="315">
        <f>C7/C8</f>
        <v>0.17704426372626741</v>
      </c>
      <c r="E7" s="266">
        <f>1356230.715*2</f>
        <v>2712461.43</v>
      </c>
      <c r="F7" s="315">
        <f>E7/E8</f>
        <v>0.25970283527883237</v>
      </c>
      <c r="G7" s="266">
        <f>E7*1.03</f>
        <v>2793835.2729000002</v>
      </c>
      <c r="H7" s="315">
        <f>G7/G8</f>
        <v>0.20566068519047398</v>
      </c>
      <c r="I7" s="266"/>
      <c r="J7" s="358"/>
      <c r="K7" s="6"/>
      <c r="L7" s="97" t="s">
        <v>357</v>
      </c>
      <c r="M7" s="80"/>
    </row>
    <row r="8" spans="1:13" ht="15.75" customHeight="1" x14ac:dyDescent="0.3">
      <c r="B8" s="5" t="s">
        <v>176</v>
      </c>
      <c r="C8" s="215">
        <f>SUM(C4:C7)</f>
        <v>15467783.910999998</v>
      </c>
      <c r="D8" s="314"/>
      <c r="E8" s="273">
        <f>SUM(E4:E7)</f>
        <v>10444481.390000001</v>
      </c>
      <c r="F8" s="314"/>
      <c r="G8" s="274">
        <f>SUM(G4:G7)</f>
        <v>13584683.287</v>
      </c>
      <c r="H8" s="314"/>
      <c r="I8" s="274"/>
      <c r="J8" s="359"/>
      <c r="K8" s="6"/>
      <c r="L8" s="97"/>
      <c r="M8" s="80"/>
    </row>
    <row r="9" spans="1:13" ht="15.75" customHeight="1" x14ac:dyDescent="0.3">
      <c r="B9" s="17" t="s">
        <v>175</v>
      </c>
      <c r="C9" s="222"/>
      <c r="D9" s="316"/>
      <c r="E9" s="18">
        <f>E8/C8-1</f>
        <v>-0.32475903141028817</v>
      </c>
      <c r="F9" s="316"/>
      <c r="G9" s="96">
        <f>G8/E8-1</f>
        <v>0.30065656491154891</v>
      </c>
      <c r="H9" s="316"/>
      <c r="I9" s="96"/>
      <c r="J9" s="360"/>
      <c r="K9" s="6"/>
      <c r="L9" s="97"/>
      <c r="M9" s="80"/>
    </row>
    <row r="10" spans="1:13" ht="15.75" customHeight="1" x14ac:dyDescent="0.3">
      <c r="B10" s="8" t="s">
        <v>177</v>
      </c>
      <c r="C10" s="216">
        <f>Data!C9</f>
        <v>7301864</v>
      </c>
      <c r="D10" s="317"/>
      <c r="E10" s="272">
        <f>E8*E11</f>
        <v>4177792.5560000003</v>
      </c>
      <c r="F10" s="317"/>
      <c r="G10" s="341">
        <f>IF(G8="","",G8*(1-G11))</f>
        <v>6792341.6435000002</v>
      </c>
      <c r="H10" s="317"/>
      <c r="I10" s="341" t="str">
        <f>IF(I8="","",I8*(1-I11))</f>
        <v/>
      </c>
      <c r="J10" s="361"/>
      <c r="K10" s="6"/>
      <c r="L10" s="145"/>
      <c r="M10" s="1"/>
    </row>
    <row r="11" spans="1:13" ht="15.75" customHeight="1" x14ac:dyDescent="0.3">
      <c r="B11" s="17" t="s">
        <v>50</v>
      </c>
      <c r="C11" s="221">
        <f>(C8-C10)/C8</f>
        <v>0.52793082434987726</v>
      </c>
      <c r="D11" s="221"/>
      <c r="E11" s="96">
        <v>0.4</v>
      </c>
      <c r="F11" s="221"/>
      <c r="G11" s="96">
        <v>0.5</v>
      </c>
      <c r="H11" s="221"/>
      <c r="I11" s="96"/>
      <c r="J11" s="362"/>
      <c r="K11" s="6"/>
      <c r="L11" s="97"/>
    </row>
    <row r="12" spans="1:13" ht="15.75" customHeight="1" x14ac:dyDescent="0.3">
      <c r="B12" s="5" t="s">
        <v>178</v>
      </c>
      <c r="C12" s="29">
        <f>C8-C10</f>
        <v>8165919.9109999985</v>
      </c>
      <c r="D12" s="29"/>
      <c r="E12" s="29">
        <f>E8-E10</f>
        <v>6266688.8340000007</v>
      </c>
      <c r="F12" s="29"/>
      <c r="G12" s="29">
        <f>IF(G9="","",G8-G10)</f>
        <v>6792341.6435000002</v>
      </c>
      <c r="H12" s="29"/>
      <c r="I12" s="29" t="str">
        <f>IF(I9="","",I8-I10)</f>
        <v/>
      </c>
      <c r="J12" s="296"/>
      <c r="K12" s="6"/>
      <c r="L12" s="97"/>
    </row>
    <row r="13" spans="1:13" ht="15.75" customHeight="1" x14ac:dyDescent="0.3">
      <c r="B13" s="17" t="s">
        <v>52</v>
      </c>
      <c r="C13" s="226">
        <f>C14/C8</f>
        <v>6.7328499738051453E-2</v>
      </c>
      <c r="D13" s="226"/>
      <c r="E13" s="271">
        <f>E14/E8</f>
        <v>0.10369874309288227</v>
      </c>
      <c r="F13" s="226"/>
      <c r="G13" s="88">
        <v>0.09</v>
      </c>
      <c r="H13" s="226"/>
      <c r="I13" s="88"/>
      <c r="J13" s="363"/>
      <c r="K13" s="6"/>
      <c r="L13" s="97"/>
    </row>
    <row r="14" spans="1:13" ht="15.75" customHeight="1" x14ac:dyDescent="0.3">
      <c r="B14" s="8" t="s">
        <v>179</v>
      </c>
      <c r="C14" s="218">
        <f>867483.279+173939.406</f>
        <v>1041422.6849999999</v>
      </c>
      <c r="D14" s="318"/>
      <c r="E14" s="99">
        <f>C14*1.04</f>
        <v>1083079.5924</v>
      </c>
      <c r="F14" s="318"/>
      <c r="G14" s="342">
        <f>IF(G9="","",G8*G13)</f>
        <v>1222621.4958299999</v>
      </c>
      <c r="H14" s="318"/>
      <c r="I14" s="342" t="str">
        <f>IF(I9="","",I8*I13)</f>
        <v/>
      </c>
      <c r="J14" s="364"/>
      <c r="K14" s="6"/>
      <c r="L14" s="97"/>
    </row>
    <row r="15" spans="1:13" ht="15.75" customHeight="1" x14ac:dyDescent="0.3">
      <c r="B15" s="17" t="s">
        <v>53</v>
      </c>
      <c r="C15" s="18">
        <f>C17/C8</f>
        <v>0.46060232461182588</v>
      </c>
      <c r="D15" s="18"/>
      <c r="E15" s="18">
        <f>E17/E8</f>
        <v>0.49630125690711779</v>
      </c>
      <c r="F15" s="18"/>
      <c r="G15" s="18">
        <f>IF(G9="","",G17/G8)</f>
        <v>0.41000000000000003</v>
      </c>
      <c r="H15" s="18"/>
      <c r="I15" s="18" t="str">
        <f>IF(I9="","",I17/I8)</f>
        <v/>
      </c>
      <c r="J15" s="282"/>
      <c r="K15" s="6"/>
      <c r="L15" s="97"/>
      <c r="M15" s="80"/>
    </row>
    <row r="16" spans="1:13" ht="15.75" customHeight="1" x14ac:dyDescent="0.3">
      <c r="B16" s="17" t="s">
        <v>180</v>
      </c>
      <c r="C16" s="223"/>
      <c r="D16" s="319"/>
      <c r="E16" s="14">
        <f>IF(ABS(C17+E17)=ABS(C17)+ABS(E17),IF(E17&lt;0,-1,1)*(E17-C17)/C17,"Turn")</f>
        <v>-0.27242455472043131</v>
      </c>
      <c r="F16" s="319"/>
      <c r="G16" s="14">
        <f>IF(G9="","",IF(ABS(E17+G17)=ABS(E17)+ABS(G17),IF(G17&lt;0,-1,1)*(G17-E17)/E17,"Turn"))</f>
        <v>7.4486885116907556E-2</v>
      </c>
      <c r="H16" s="319"/>
      <c r="I16" s="14" t="str">
        <f>IF(I9="","",IF(ABS(G17+I17)=ABS(G17)+ABS(I17),IF(I17&lt;0,-1,1)*(I17-G17)/G17,"Turn"))</f>
        <v/>
      </c>
      <c r="J16" s="365"/>
      <c r="K16" s="6"/>
      <c r="L16" s="101"/>
      <c r="M16" s="102"/>
    </row>
    <row r="17" spans="2:13" ht="15.75" customHeight="1" thickBot="1" x14ac:dyDescent="0.35">
      <c r="B17" s="164" t="s">
        <v>322</v>
      </c>
      <c r="C17" s="275">
        <f>C12-C14</f>
        <v>7124497.2259999989</v>
      </c>
      <c r="D17" s="320"/>
      <c r="E17" s="275">
        <f>E12-E14</f>
        <v>5183609.2416000012</v>
      </c>
      <c r="F17" s="320"/>
      <c r="G17" s="275">
        <f>IF(G9="","",G12-G14)</f>
        <v>5569720.1476700008</v>
      </c>
      <c r="H17" s="320"/>
      <c r="I17" s="275" t="str">
        <f>IF(I9="","",I12-I14)</f>
        <v/>
      </c>
      <c r="J17" s="366"/>
      <c r="K17" s="6"/>
      <c r="L17" s="103"/>
      <c r="M17" s="79"/>
    </row>
    <row r="18" spans="2:13" ht="15.75" customHeight="1" thickTop="1" x14ac:dyDescent="0.3">
      <c r="I18" s="6"/>
      <c r="J18" s="6"/>
    </row>
    <row r="19" spans="2:13" ht="15.75" customHeight="1" x14ac:dyDescent="0.3"/>
    <row r="20" spans="2:13" ht="15.75" customHeight="1" x14ac:dyDescent="0.3"/>
    <row r="21" spans="2:13" ht="15.75" customHeight="1" x14ac:dyDescent="0.3"/>
    <row r="22" spans="2:13" ht="15.75" customHeight="1" x14ac:dyDescent="0.3"/>
    <row r="23" spans="2:13" ht="15.75" customHeight="1" x14ac:dyDescent="0.3"/>
    <row r="24" spans="2:13" ht="15.75" customHeight="1" x14ac:dyDescent="0.3"/>
    <row r="25" spans="2:13" ht="15.75" customHeight="1" x14ac:dyDescent="0.3"/>
    <row r="26" spans="2:13" ht="15.75" customHeight="1" x14ac:dyDescent="0.3"/>
    <row r="27" spans="2:13" ht="15.75" customHeight="1" x14ac:dyDescent="0.3"/>
    <row r="28" spans="2:13" ht="15.75" customHeight="1" x14ac:dyDescent="0.3"/>
    <row r="29" spans="2:13" ht="15.75" customHeight="1" x14ac:dyDescent="0.3"/>
    <row r="30" spans="2:13" ht="15.75" customHeight="1" x14ac:dyDescent="0.3"/>
    <row r="31" spans="2:13" ht="15.75" customHeight="1" x14ac:dyDescent="0.3"/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</sheetData>
  <conditionalFormatting sqref="G8">
    <cfRule type="containsBlanks" dxfId="5" priority="8">
      <formula>LEN(TRIM(G8))=0</formula>
    </cfRule>
  </conditionalFormatting>
  <conditionalFormatting sqref="G9:H17 I12 I14:I17 I10">
    <cfRule type="containsBlanks" dxfId="4" priority="6">
      <formula>LEN(TRIM(G9))=0</formula>
    </cfRule>
    <cfRule type="containsBlanks" priority="7">
      <formula>LEN(TRIM(G9))=0</formula>
    </cfRule>
  </conditionalFormatting>
  <conditionalFormatting sqref="I9 I13 I11">
    <cfRule type="containsBlanks" dxfId="3" priority="4">
      <formula>LEN(TRIM(I9))=0</formula>
    </cfRule>
    <cfRule type="containsBlanks" priority="5">
      <formula>LEN(TRIM(I9))=0</formula>
    </cfRule>
  </conditionalFormatting>
  <conditionalFormatting sqref="J9:J17">
    <cfRule type="containsBlanks" dxfId="2" priority="2">
      <formula>LEN(TRIM(J9))=0</formula>
    </cfRule>
    <cfRule type="containsBlanks" priority="3">
      <formula>LEN(TRIM(J9))=0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7"/>
  <sheetViews>
    <sheetView showGridLines="0" tabSelected="1" zoomScaleNormal="100" zoomScalePageLayoutView="80" workbookViewId="0">
      <selection activeCell="E9" sqref="E9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120" t="s">
        <v>299</v>
      </c>
      <c r="C2" s="355" t="s">
        <v>359</v>
      </c>
      <c r="D2" s="355">
        <v>1</v>
      </c>
      <c r="E2" s="355">
        <v>2</v>
      </c>
      <c r="F2" s="355">
        <v>3</v>
      </c>
      <c r="G2" s="12"/>
      <c r="H2" s="12"/>
      <c r="I2" s="12"/>
    </row>
    <row r="3" spans="1:10" ht="15.75" customHeight="1" x14ac:dyDescent="0.3">
      <c r="B3" s="31" t="str">
        <f>"(Numbers in "&amp;Data!C4&amp;Dashboard!I11&amp;")"</f>
        <v>(Numbers in 1000HKD)</v>
      </c>
      <c r="C3" s="337">
        <f>Operation!C3</f>
        <v>44742</v>
      </c>
      <c r="D3" s="337">
        <f>Operation!E3</f>
        <v>45107</v>
      </c>
      <c r="E3" s="337">
        <f>Operation!G3</f>
        <v>45473</v>
      </c>
      <c r="F3" s="337" t="str">
        <f>Operation!I3</f>
        <v/>
      </c>
      <c r="G3" s="30" t="s">
        <v>343</v>
      </c>
      <c r="I3" s="95" t="s">
        <v>174</v>
      </c>
    </row>
    <row r="4" spans="1:10" ht="15.75" customHeight="1" x14ac:dyDescent="0.3">
      <c r="B4" s="5" t="s">
        <v>54</v>
      </c>
      <c r="C4" s="217">
        <f>Operation!C17</f>
        <v>7124497.2259999989</v>
      </c>
      <c r="D4" s="47">
        <f>Operation!E17</f>
        <v>5183609.2416000012</v>
      </c>
      <c r="E4" s="47">
        <f>Operation!G17</f>
        <v>5569720.1476700008</v>
      </c>
      <c r="F4" s="238" t="str">
        <f>Operation!I17</f>
        <v/>
      </c>
      <c r="G4" s="235"/>
      <c r="H4" s="6"/>
      <c r="I4" s="103"/>
      <c r="J4" s="79"/>
    </row>
    <row r="5" spans="1:10" ht="15.75" customHeight="1" x14ac:dyDescent="0.3">
      <c r="B5" s="17" t="s">
        <v>324</v>
      </c>
      <c r="C5" s="311"/>
      <c r="D5" s="312">
        <f>Operation!E16</f>
        <v>-0.27242455472043131</v>
      </c>
      <c r="E5" s="312">
        <f>IF(E4="","",Operation!G16)</f>
        <v>7.4486885116907556E-2</v>
      </c>
      <c r="F5" s="312" t="str">
        <f>IF(F4="","",Operation!I16)</f>
        <v/>
      </c>
      <c r="G5" s="235"/>
      <c r="H5" s="6"/>
      <c r="I5" s="103"/>
      <c r="J5" s="79"/>
    </row>
    <row r="6" spans="1:10" ht="15.75" customHeight="1" x14ac:dyDescent="0.3">
      <c r="B6" s="20" t="s">
        <v>181</v>
      </c>
      <c r="C6" s="224">
        <v>0.16500000000000001</v>
      </c>
      <c r="D6" s="290">
        <f>C6</f>
        <v>0.16500000000000001</v>
      </c>
      <c r="E6" s="291">
        <f>IF(E4="","",D6)</f>
        <v>0.16500000000000001</v>
      </c>
      <c r="F6" s="292" t="str">
        <f>IF(F4="","",D6)</f>
        <v/>
      </c>
      <c r="G6" s="236"/>
      <c r="H6" s="6"/>
      <c r="I6" s="102"/>
      <c r="J6" s="80"/>
    </row>
    <row r="7" spans="1:10" ht="15.75" customHeight="1" x14ac:dyDescent="0.3">
      <c r="B7" s="5" t="s">
        <v>103</v>
      </c>
      <c r="C7" s="225">
        <f>IF(C4&lt;=0,C4,C4*(1-C6))</f>
        <v>5948955.1837099986</v>
      </c>
      <c r="D7" s="104">
        <f>IF(D4&lt;=0,D4,D4*(1-D6))</f>
        <v>4328313.716736001</v>
      </c>
      <c r="E7" s="104">
        <f>IF(E4="","",IF(E4&lt;=0,E4,E4*(1-E6)))</f>
        <v>4650716.3233044501</v>
      </c>
      <c r="F7" s="239" t="str">
        <f>IF(F4="","",IF(F4&lt;=0,F4,F4*(1-F6)))</f>
        <v/>
      </c>
      <c r="G7" s="235"/>
      <c r="H7" s="6"/>
      <c r="I7" s="105"/>
      <c r="J7" s="79"/>
    </row>
    <row r="8" spans="1:10" ht="15.75" customHeight="1" x14ac:dyDescent="0.3">
      <c r="B8" s="17" t="s">
        <v>72</v>
      </c>
      <c r="C8" s="347">
        <f>C10/C7</f>
        <v>3.4511538071793253E-2</v>
      </c>
      <c r="D8" s="348">
        <f>D10/D7</f>
        <v>0.13085754060431629</v>
      </c>
      <c r="E8" s="347">
        <f>IF(E11="","",E10/E7)</f>
        <v>0.11757377090119193</v>
      </c>
      <c r="F8" s="349" t="str">
        <f>IF(F11="","",F10/F7)</f>
        <v/>
      </c>
      <c r="G8" s="236"/>
      <c r="H8" s="6"/>
      <c r="I8" s="101"/>
    </row>
    <row r="9" spans="1:10" ht="15.75" customHeight="1" x14ac:dyDescent="0.3">
      <c r="B9" s="17" t="s">
        <v>328</v>
      </c>
      <c r="C9" s="313"/>
      <c r="D9" s="353">
        <f>(D7-C7)/C10</f>
        <v>-7.8937239526594016</v>
      </c>
      <c r="E9" s="321">
        <f>IF(E7="","",(E7-D7)/D10)</f>
        <v>0.56922119102130309</v>
      </c>
      <c r="F9" s="354" t="str">
        <f>IF(F7="","",(F7-E7)/E10)</f>
        <v/>
      </c>
      <c r="G9" s="236"/>
      <c r="H9" s="6"/>
      <c r="I9" s="101"/>
    </row>
    <row r="10" spans="1:10" ht="15" customHeight="1" thickBot="1" x14ac:dyDescent="0.35">
      <c r="B10" s="106" t="s">
        <v>100</v>
      </c>
      <c r="C10" s="350">
        <f>C7-C11</f>
        <v>205307.59330999944</v>
      </c>
      <c r="D10" s="350">
        <f>D7-D11</f>
        <v>566392.48793600034</v>
      </c>
      <c r="E10" s="351">
        <f>IF(E11="","",E7-E11)</f>
        <v>546802.25552263111</v>
      </c>
      <c r="F10" s="352" t="str">
        <f>IF(F4="","",F7*F8)</f>
        <v/>
      </c>
      <c r="G10" s="237"/>
      <c r="H10" s="107"/>
      <c r="I10" s="79"/>
      <c r="J10" s="79"/>
    </row>
    <row r="11" spans="1:10" ht="15.75" customHeight="1" thickTop="1" x14ac:dyDescent="0.3">
      <c r="B11" s="17" t="s">
        <v>182</v>
      </c>
      <c r="C11" s="229">
        <f>IF(C12="","",C12*Common_Shares/Data!C4)</f>
        <v>5743647.5903999992</v>
      </c>
      <c r="D11" s="228">
        <f>IF(D12="","",D12*Common_Shares/Data!C4)</f>
        <v>3761921.2288000006</v>
      </c>
      <c r="E11" s="228">
        <f>IF(E12="","",E12*Common_Shares/Data!C4)</f>
        <v>4103914.067781819</v>
      </c>
      <c r="F11" s="228" t="str">
        <f>IF(F12="","",F12*Common_Shares/Data!C4)</f>
        <v/>
      </c>
      <c r="G11" s="279">
        <f>IF(F4="",IF(E4="",D11,E11),F11)</f>
        <v>4103914.067781819</v>
      </c>
      <c r="H11" s="107"/>
      <c r="I11" s="79"/>
      <c r="J11" s="79"/>
    </row>
    <row r="12" spans="1:10" ht="15.75" customHeight="1" x14ac:dyDescent="0.3">
      <c r="B12" s="244" t="s">
        <v>290</v>
      </c>
      <c r="C12" s="276">
        <f>IF(C14="","",C14/C13)</f>
        <v>0.71249999999999991</v>
      </c>
      <c r="D12" s="277">
        <f>IF(D14="","",D14/D13)</f>
        <v>0.46666666666666673</v>
      </c>
      <c r="E12" s="277">
        <f>IF(E14="","",E14/E13)</f>
        <v>0.50909090909090915</v>
      </c>
      <c r="F12" s="277" t="str">
        <f>IF(F14="","",F14)</f>
        <v/>
      </c>
      <c r="G12" s="280">
        <f>G11*Data!C$4/Dashboard!I5</f>
        <v>0.50909090909090915</v>
      </c>
      <c r="H12" s="107"/>
      <c r="I12" s="79"/>
      <c r="J12" s="79"/>
    </row>
    <row r="13" spans="1:10" ht="15.75" customHeight="1" x14ac:dyDescent="0.3">
      <c r="B13" s="285" t="s">
        <v>323</v>
      </c>
      <c r="C13" s="343">
        <v>0.8</v>
      </c>
      <c r="D13" s="278">
        <v>1.2</v>
      </c>
      <c r="E13" s="278">
        <v>1.1000000000000001</v>
      </c>
      <c r="F13" s="278"/>
      <c r="G13" s="286"/>
      <c r="H13" s="107"/>
      <c r="I13" s="79"/>
      <c r="J13" s="79"/>
    </row>
    <row r="14" spans="1:10" ht="15.75" customHeight="1" x14ac:dyDescent="0.3">
      <c r="B14" s="285" t="s">
        <v>354</v>
      </c>
      <c r="C14" s="345">
        <f>0.42+0.15</f>
        <v>0.56999999999999995</v>
      </c>
      <c r="D14" s="346">
        <v>0.56000000000000005</v>
      </c>
      <c r="E14" s="346">
        <v>0.56000000000000005</v>
      </c>
      <c r="F14" s="346"/>
      <c r="G14" s="344"/>
      <c r="H14" s="107"/>
      <c r="I14" s="79"/>
      <c r="J14" s="79"/>
    </row>
    <row r="15" spans="1:10" ht="15.75" customHeight="1" x14ac:dyDescent="0.3">
      <c r="B15" s="19" t="s">
        <v>293</v>
      </c>
      <c r="C15" s="287">
        <v>0</v>
      </c>
      <c r="D15" s="287">
        <f>0.15+0.41</f>
        <v>0.55999999999999994</v>
      </c>
      <c r="E15" s="287">
        <v>0.56000000000000005</v>
      </c>
      <c r="F15" s="287"/>
      <c r="G15" s="281">
        <f>G12*D31</f>
        <v>5.8240000000000016</v>
      </c>
      <c r="H15" s="107"/>
      <c r="I15" s="79"/>
      <c r="J15" s="79"/>
    </row>
    <row r="16" spans="1:10" ht="15.75" customHeight="1" x14ac:dyDescent="0.3">
      <c r="B16" s="17" t="s">
        <v>183</v>
      </c>
      <c r="C16" s="227"/>
      <c r="D16" s="268">
        <f ca="1">Dashboard!D12</f>
        <v>0.19354444444444446</v>
      </c>
      <c r="E16" s="18">
        <f ca="1">IF(E4="","",D16)</f>
        <v>0.19354444444444446</v>
      </c>
      <c r="F16" s="18" t="str">
        <f>IF(F4="","",D16)</f>
        <v/>
      </c>
      <c r="G16" s="282">
        <f ca="1">Dashboard!D12</f>
        <v>0.19354444444444446</v>
      </c>
      <c r="H16" s="85"/>
      <c r="I16" s="80"/>
      <c r="J16" s="80"/>
    </row>
    <row r="17" spans="2:10" ht="15.75" customHeight="1" thickBot="1" x14ac:dyDescent="0.35">
      <c r="B17" s="108" t="s">
        <v>184</v>
      </c>
      <c r="C17" s="143"/>
      <c r="D17" s="269">
        <f ca="1">IF(D4="","",1+D16)</f>
        <v>1.1935444444444445</v>
      </c>
      <c r="E17" s="270">
        <f ca="1">IF(E4="","",(1+D16)*(1+E16))</f>
        <v>1.4245483408641977</v>
      </c>
      <c r="F17" s="270" t="str">
        <f>IF(F4="","",(1+D16)*(1+E16)*(1+F16))</f>
        <v/>
      </c>
      <c r="G17" s="283">
        <f ca="1">IF(F4="",IF(E4="",D17,E17),F17)*(1+G16)</f>
        <v>1.700261758081014</v>
      </c>
      <c r="H17" s="85"/>
      <c r="I17" s="80"/>
      <c r="J17" s="80"/>
    </row>
    <row r="18" spans="2:10" ht="15.75" customHeight="1" thickTop="1" x14ac:dyDescent="0.3">
      <c r="B18" s="8" t="s">
        <v>294</v>
      </c>
      <c r="C18" s="288">
        <f>C15</f>
        <v>0</v>
      </c>
      <c r="D18" s="232">
        <f ca="1">IF(D15="","",IF(D15=0,0,D15/D17))</f>
        <v>0.46919073906850733</v>
      </c>
      <c r="E18" s="233">
        <f ca="1">IF(E15="","",IF(E15=0,0,E15/E17))</f>
        <v>0.39310705290652181</v>
      </c>
      <c r="F18" s="233" t="str">
        <f>IF(F15="","",IF(F15=0,0,F15/F17))</f>
        <v/>
      </c>
      <c r="G18" s="284">
        <f ca="1">IF(G15=0,0,G15/G17)</f>
        <v>3.4253549327447144</v>
      </c>
      <c r="H18" s="105"/>
      <c r="I18" s="79"/>
      <c r="J18" s="79"/>
    </row>
    <row r="19" spans="2:10" ht="15.75" customHeight="1" x14ac:dyDescent="0.3">
      <c r="F19" s="6"/>
      <c r="G19" s="144"/>
    </row>
    <row r="20" spans="2:10" ht="15.75" customHeight="1" x14ac:dyDescent="0.3">
      <c r="B20" s="27" t="s">
        <v>295</v>
      </c>
      <c r="C20" s="231" t="str">
        <f>B3</f>
        <v>(Numbers in 1000HKD)</v>
      </c>
      <c r="E20" s="95" t="s">
        <v>296</v>
      </c>
    </row>
    <row r="21" spans="2:10" ht="15.75" customHeight="1" x14ac:dyDescent="0.3">
      <c r="B21" s="81" t="s">
        <v>316</v>
      </c>
      <c r="C21" s="109">
        <f>Asset_Model!E59</f>
        <v>43640996.975659996</v>
      </c>
      <c r="D21" s="263">
        <f>C21/(Dashboard!I5/Data!C4)</f>
        <v>5.4136695985890526</v>
      </c>
      <c r="E21" s="110" t="s">
        <v>313</v>
      </c>
      <c r="G21" s="167">
        <f>C21+C22+C23+C24</f>
        <v>45928099.292460009</v>
      </c>
    </row>
    <row r="22" spans="2:10" ht="15.75" customHeight="1" x14ac:dyDescent="0.3">
      <c r="B22" s="81" t="s">
        <v>320</v>
      </c>
      <c r="C22" s="109">
        <f>Asset_Model!E58</f>
        <v>9794286.2868000008</v>
      </c>
      <c r="D22" s="263">
        <f>C22/(Dashboard!I5/Data!C4)</f>
        <v>1.2149820944810106</v>
      </c>
      <c r="E22" s="110" t="s">
        <v>314</v>
      </c>
      <c r="G22" s="234">
        <f>G21*Data!C$4/Dashboard!I5</f>
        <v>5.697384846621274</v>
      </c>
    </row>
    <row r="23" spans="2:10" ht="15.75" customHeight="1" x14ac:dyDescent="0.3">
      <c r="B23" s="81" t="s">
        <v>297</v>
      </c>
      <c r="C23" s="109">
        <f>-Asset_Model!D52</f>
        <v>-6739518.3509999998</v>
      </c>
      <c r="D23" s="263">
        <f>C23/(Dashboard!I5/Data!C4)</f>
        <v>-0.83603785739108771</v>
      </c>
      <c r="E23" s="455" t="str">
        <f>IF(F24+G24=G22,"⇒","Error!")</f>
        <v>⇒</v>
      </c>
      <c r="F23" s="176" t="s">
        <v>321</v>
      </c>
      <c r="G23" s="113" t="s">
        <v>25</v>
      </c>
    </row>
    <row r="24" spans="2:10" ht="15.75" customHeight="1" x14ac:dyDescent="0.3">
      <c r="B24" s="110" t="s">
        <v>315</v>
      </c>
      <c r="C24" s="109">
        <f>-Asset_Model!E50</f>
        <v>-767665.61899998784</v>
      </c>
      <c r="D24" s="263">
        <f>C24/(Dashboard!I5/Data!C4)</f>
        <v>-9.522898905770083E-2</v>
      </c>
      <c r="E24" s="455"/>
      <c r="F24" s="182">
        <f>D21</f>
        <v>5.4136695985890526</v>
      </c>
      <c r="G24" s="181">
        <f>SUM(D22:D24)</f>
        <v>0.28371524803222203</v>
      </c>
    </row>
    <row r="25" spans="2:10" ht="15.75" customHeight="1" x14ac:dyDescent="0.3">
      <c r="F25" s="6"/>
      <c r="G25" s="6"/>
    </row>
    <row r="26" spans="2:10" ht="15.75" customHeight="1" x14ac:dyDescent="0.3">
      <c r="B26" s="27" t="s">
        <v>298</v>
      </c>
      <c r="C26" s="231" t="str">
        <f>B3</f>
        <v>(Numbers in 1000HKD)</v>
      </c>
      <c r="E26" s="111"/>
      <c r="F26" s="454" t="s">
        <v>305</v>
      </c>
      <c r="G26" s="454"/>
    </row>
    <row r="27" spans="2:10" ht="15.75" customHeight="1" x14ac:dyDescent="0.3">
      <c r="B27" s="157" t="str">
        <f>"Exit after Year "&amp;B28</f>
        <v>Exit after Year 2</v>
      </c>
      <c r="C27" s="157" t="s">
        <v>301</v>
      </c>
      <c r="D27" s="241" t="s">
        <v>292</v>
      </c>
      <c r="E27" s="157" t="s">
        <v>302</v>
      </c>
      <c r="F27" s="324" t="s">
        <v>304</v>
      </c>
      <c r="G27" s="324" t="s">
        <v>303</v>
      </c>
      <c r="I27" s="112" t="s">
        <v>174</v>
      </c>
    </row>
    <row r="28" spans="2:10" ht="15.75" hidden="1" customHeight="1" x14ac:dyDescent="0.3">
      <c r="B28" s="246">
        <f>IF(F3="",IF(E3="",1,2),3)</f>
        <v>2</v>
      </c>
      <c r="D28" s="240">
        <v>8</v>
      </c>
      <c r="E28" s="245">
        <f ca="1">G12*D28/G17</f>
        <v>2.3953530998214783</v>
      </c>
      <c r="F28" s="6"/>
      <c r="G28" s="113"/>
      <c r="I28" s="114"/>
    </row>
    <row r="29" spans="2:10" ht="15.75" customHeight="1" x14ac:dyDescent="0.3">
      <c r="B29" s="176" t="s">
        <v>331</v>
      </c>
      <c r="C29" s="14">
        <f>1/D29</f>
        <v>0.125</v>
      </c>
      <c r="D29" s="240">
        <f>'Qualitative Analysis'!E21</f>
        <v>8</v>
      </c>
      <c r="E29" s="250">
        <f t="dataTable" ref="E29:E31" dt2D="0" dtr="0" r1="D28" ca="1"/>
        <v>2.3953530998214783</v>
      </c>
      <c r="F29" s="456">
        <f ca="1">SUM(C18:F18)</f>
        <v>0.8622977919750292</v>
      </c>
      <c r="G29" s="250">
        <f ca="1">$F$29+E29+$G$22</f>
        <v>8.9550357384177808</v>
      </c>
      <c r="I29" s="97"/>
    </row>
    <row r="30" spans="2:10" ht="15.75" customHeight="1" x14ac:dyDescent="0.3">
      <c r="B30" s="176" t="s">
        <v>332</v>
      </c>
      <c r="C30" s="14">
        <f t="shared" ref="C30" si="0">1/D30</f>
        <v>9.6153846153846145E-2</v>
      </c>
      <c r="D30" s="240">
        <f>D29*1.3</f>
        <v>10.4</v>
      </c>
      <c r="E30" s="249">
        <v>3.1139590297679223</v>
      </c>
      <c r="F30" s="457"/>
      <c r="G30" s="249">
        <f ca="1">$F$29+E30+$G$22</f>
        <v>9.6736416683642261</v>
      </c>
      <c r="I30" s="97"/>
    </row>
    <row r="31" spans="2:10" ht="15.75" customHeight="1" x14ac:dyDescent="0.3">
      <c r="B31" s="180" t="s">
        <v>333</v>
      </c>
      <c r="C31" s="242">
        <f>1/D31</f>
        <v>8.7412587412587409E-2</v>
      </c>
      <c r="D31" s="243">
        <f>D30*1.1</f>
        <v>11.440000000000001</v>
      </c>
      <c r="E31" s="251">
        <v>3.4253549327447144</v>
      </c>
      <c r="F31" s="458"/>
      <c r="G31" s="251">
        <f ca="1">$F$29+E31+$G$22</f>
        <v>9.9850375713410173</v>
      </c>
      <c r="I31" s="97"/>
    </row>
    <row r="32" spans="2:10" ht="15.75" customHeight="1" x14ac:dyDescent="0.3">
      <c r="C32" s="6"/>
      <c r="D32" s="6"/>
      <c r="E32" s="6"/>
      <c r="F32" s="6"/>
      <c r="G32" s="6"/>
    </row>
    <row r="33" spans="1:9" ht="15.75" customHeight="1" x14ac:dyDescent="0.3">
      <c r="A33" s="10"/>
      <c r="B33" s="11" t="s">
        <v>19</v>
      </c>
      <c r="C33" s="304" t="str">
        <f>"(Numbers in "&amp;Dashboard!J4&amp;" per share)"</f>
        <v>(Numbers in HKD per share)</v>
      </c>
      <c r="D33" s="157"/>
      <c r="E33" s="163"/>
      <c r="F33" s="157"/>
      <c r="G33" s="157"/>
      <c r="H33" s="12"/>
      <c r="I33" s="118"/>
    </row>
    <row r="34" spans="1:9" ht="15.75" customHeight="1" x14ac:dyDescent="0.3">
      <c r="A34" s="6"/>
      <c r="B34" s="94" t="s">
        <v>185</v>
      </c>
      <c r="C34" s="306">
        <f ca="1">MIN(Asset_Model!D7,G29)+(ABS(Asset_Model!D7-G29)*'Qualitative Analysis'!E80)*Exchange_Rate</f>
        <v>11.094884983632483</v>
      </c>
      <c r="D34" s="24" t="str">
        <f ca="1">IF(C34&lt;E34,"&lt;",IF(C34=E34,"=","&gt;"))</f>
        <v>&gt;</v>
      </c>
      <c r="E34" s="305">
        <f ca="1">G30*Exchange_Rate</f>
        <v>9.6736416683642261</v>
      </c>
      <c r="F34" s="32"/>
      <c r="H34" s="6"/>
      <c r="I34" s="6"/>
    </row>
    <row r="35" spans="1:9" ht="15.75" customHeight="1" x14ac:dyDescent="0.3">
      <c r="B35" s="6"/>
      <c r="C35" s="152"/>
      <c r="D35" s="152"/>
      <c r="E35" s="152"/>
      <c r="F35" s="152"/>
      <c r="G35" s="153"/>
      <c r="H35" s="6"/>
      <c r="I35" s="116"/>
    </row>
    <row r="36" spans="1:9" ht="15.75" customHeight="1" x14ac:dyDescent="0.3">
      <c r="C36" s="385" t="s">
        <v>186</v>
      </c>
      <c r="D36" s="453"/>
      <c r="E36" s="32" t="s">
        <v>291</v>
      </c>
      <c r="F36" s="32" t="s">
        <v>20</v>
      </c>
      <c r="G36" s="32"/>
      <c r="H36" s="6"/>
    </row>
    <row r="37" spans="1:9" ht="15.75" customHeight="1" x14ac:dyDescent="0.3">
      <c r="B37" s="310" t="s">
        <v>308</v>
      </c>
      <c r="C37" s="307">
        <f ca="1">MIN(C34,E34)+(ABS(C34-E34)*'Qualitative Analysis'!E80)</f>
        <v>10.467330324753545</v>
      </c>
      <c r="D37" s="148" t="str">
        <f>Dashboard!J4</f>
        <v>HKD</v>
      </c>
      <c r="E37" s="149">
        <f ca="1">(C37-G22)/C12</f>
        <v>6.6946603201856449</v>
      </c>
      <c r="F37" s="192">
        <f ca="1">C37/(Data!C28*Exchange_Rate*Data!C4/Common_Shares)</f>
        <v>0.53327852226888239</v>
      </c>
      <c r="G37" s="113"/>
      <c r="H37" s="6"/>
      <c r="I37" s="97"/>
    </row>
    <row r="38" spans="1:9" ht="15.75" customHeight="1" x14ac:dyDescent="0.3">
      <c r="B38" s="309" t="s">
        <v>307</v>
      </c>
      <c r="C38" s="308">
        <f ca="1">(G15/(1+G38)^B28+F29+G22)*Exchange_Rate</f>
        <v>12.058967415253157</v>
      </c>
      <c r="D38" s="252" t="str">
        <f>D37</f>
        <v>HKD</v>
      </c>
      <c r="E38" s="149">
        <f ca="1">(C38-G22)/C12</f>
        <v>8.9285369384307138</v>
      </c>
      <c r="F38" s="192">
        <f ca="1">C38/(Data!C28*Exchange_Rate*Data!C4/Common_Shares)</f>
        <v>0.61436757260703168</v>
      </c>
      <c r="G38" s="340">
        <f>Dashboard!D10</f>
        <v>2.9100000000000001E-2</v>
      </c>
    </row>
    <row r="39" spans="1:9" ht="15.75" customHeight="1" x14ac:dyDescent="0.3"/>
    <row r="40" spans="1:9" ht="15.75" customHeight="1" x14ac:dyDescent="0.3"/>
    <row r="41" spans="1:9" ht="15.75" customHeight="1" x14ac:dyDescent="0.3"/>
    <row r="42" spans="1:9" ht="15.75" customHeight="1" x14ac:dyDescent="0.3"/>
    <row r="43" spans="1:9" ht="15.75" customHeight="1" x14ac:dyDescent="0.3"/>
    <row r="44" spans="1:9" ht="15.75" customHeight="1" x14ac:dyDescent="0.3"/>
    <row r="45" spans="1:9" ht="15.75" customHeight="1" x14ac:dyDescent="0.3"/>
    <row r="46" spans="1:9" ht="15.75" customHeight="1" x14ac:dyDescent="0.3"/>
    <row r="47" spans="1:9" ht="15.75" customHeight="1" x14ac:dyDescent="0.3"/>
    <row r="48" spans="1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</sheetData>
  <mergeCells count="4">
    <mergeCell ref="C36:D36"/>
    <mergeCell ref="F26:G26"/>
    <mergeCell ref="E23:E24"/>
    <mergeCell ref="F29:F31"/>
  </mergeCells>
  <conditionalFormatting sqref="E4:F18">
    <cfRule type="containsBlanks" dxfId="1" priority="5">
      <formula>LEN(TRIM(E4))=0</formula>
    </cfRule>
  </conditionalFormatting>
  <conditionalFormatting sqref="E29:E31 G29:G31">
    <cfRule type="cellIs" dxfId="0" priority="28" operator="equal">
      <formula>$E$34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93"/>
  <sheetViews>
    <sheetView showGridLines="0" zoomScaleNormal="100" workbookViewId="0">
      <selection activeCell="B13" sqref="B13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4" width="22.453125" style="3" customWidth="1"/>
    <col min="5" max="5" width="32.7265625" style="3" customWidth="1"/>
    <col min="6" max="16384" width="12.453125" style="3"/>
  </cols>
  <sheetData>
    <row r="2" spans="1:5" x14ac:dyDescent="0.3">
      <c r="A2" s="4"/>
      <c r="B2" s="11" t="s">
        <v>187</v>
      </c>
      <c r="C2" s="123"/>
      <c r="D2" s="12"/>
      <c r="E2" s="12"/>
    </row>
    <row r="3" spans="1:5" ht="14" x14ac:dyDescent="0.3">
      <c r="B3" s="124" t="s">
        <v>188</v>
      </c>
      <c r="C3" s="125"/>
      <c r="D3" s="6"/>
      <c r="E3" s="6"/>
    </row>
    <row r="4" spans="1:5" ht="14" x14ac:dyDescent="0.3">
      <c r="B4" s="6" t="s">
        <v>189</v>
      </c>
      <c r="C4" s="125"/>
      <c r="D4" s="122">
        <f>IF(E4="Strongly disagree",0,IF(E4="disagree",1,IF(E4="unclear",2,IF(E4="agree",3,4))))</f>
        <v>1</v>
      </c>
      <c r="E4" s="33" t="s">
        <v>216</v>
      </c>
    </row>
    <row r="5" spans="1:5" ht="14" x14ac:dyDescent="0.3">
      <c r="B5" s="6" t="s">
        <v>191</v>
      </c>
      <c r="C5" s="125"/>
      <c r="D5" s="122">
        <f t="shared" ref="D5" si="0">IF(E5="Strongly disagree",0,IF(E5="disagree",1,IF(E5="unclear",2,IF(E5="agree",3,4))))</f>
        <v>0</v>
      </c>
      <c r="E5" s="33" t="s">
        <v>234</v>
      </c>
    </row>
    <row r="6" spans="1:5" ht="14" x14ac:dyDescent="0.3">
      <c r="B6" s="6" t="s">
        <v>193</v>
      </c>
      <c r="C6" s="125"/>
      <c r="D6" s="122">
        <f>IF(E6="Strongly disagree",0,IF(E6="disagree",1,IF(E6="unclear",2,IF(E6="agree",3,4))))</f>
        <v>0</v>
      </c>
      <c r="E6" s="33" t="s">
        <v>234</v>
      </c>
    </row>
    <row r="7" spans="1:5" ht="14" x14ac:dyDescent="0.3">
      <c r="B7" s="126" t="s">
        <v>194</v>
      </c>
      <c r="C7" s="125"/>
      <c r="D7" s="122">
        <f>AVERAGE(D4:D6)</f>
        <v>0.33333333333333331</v>
      </c>
      <c r="E7" s="127">
        <f>D7/4</f>
        <v>8.3333333333333329E-2</v>
      </c>
    </row>
    <row r="8" spans="1:5" ht="14" x14ac:dyDescent="0.3">
      <c r="B8" s="125"/>
      <c r="C8" s="125"/>
      <c r="E8" s="6"/>
    </row>
    <row r="9" spans="1:5" ht="14" x14ac:dyDescent="0.3">
      <c r="B9" s="128" t="s">
        <v>195</v>
      </c>
      <c r="C9" s="55"/>
      <c r="D9" s="40"/>
      <c r="E9" s="24"/>
    </row>
    <row r="10" spans="1:5" ht="14" x14ac:dyDescent="0.3">
      <c r="B10" s="3" t="s">
        <v>196</v>
      </c>
      <c r="D10" s="129">
        <f>IF(E10="Strongly disagree",0,IF(E10="disagree",1,IF(E10="unclear",2,IF(E10="agree",3,4))))</f>
        <v>3</v>
      </c>
      <c r="E10" s="33" t="s">
        <v>192</v>
      </c>
    </row>
    <row r="11" spans="1:5" ht="14" x14ac:dyDescent="0.3">
      <c r="B11" s="3" t="s">
        <v>197</v>
      </c>
      <c r="C11" s="55"/>
      <c r="D11" s="129">
        <f>IF(E11="Strongly disagree",0,IF(E11="disagree",1,IF(E11="unclear",2,IF(E11="agree",3,4))))</f>
        <v>0</v>
      </c>
      <c r="E11" s="131" t="str">
        <f>IF(D7&gt;=3.5,"Strongly agree",IF(D7&gt;=2.5,"agree",IF(D7&gt;=1.5,"unclear",IF(D7&gt;=0.5,"disagree","Strongly disagree"))))</f>
        <v>Strongly disagree</v>
      </c>
    </row>
    <row r="12" spans="1:5" ht="14" x14ac:dyDescent="0.3">
      <c r="B12" s="3" t="s">
        <v>198</v>
      </c>
      <c r="D12" s="129">
        <f>IF(E12="Strongly disagree",0,IF(E12="disagree",1,IF(E12="unclear",2,IF(E12="agree",3,4))))</f>
        <v>2</v>
      </c>
      <c r="E12" s="130" t="str">
        <f>IF(D80&gt;=3.5,"Strongly agree",IF(D80&gt;=2.5,"agree",IF(D80&gt;=1.5,"unclear",IF(D80&gt;=0.5,"disagree","Strongly disagree"))))</f>
        <v>unclear</v>
      </c>
    </row>
    <row r="13" spans="1:5" ht="14" x14ac:dyDescent="0.3">
      <c r="B13" s="126" t="s">
        <v>199</v>
      </c>
      <c r="D13" s="129">
        <f>AVERAGE(D10:D12)</f>
        <v>1.6666666666666667</v>
      </c>
      <c r="E13" s="127">
        <f>D13/3</f>
        <v>0.55555555555555558</v>
      </c>
    </row>
    <row r="14" spans="1:5" ht="14" x14ac:dyDescent="0.3">
      <c r="B14" s="126"/>
      <c r="D14" s="129"/>
      <c r="E14" s="113"/>
    </row>
    <row r="15" spans="1:5" x14ac:dyDescent="0.3">
      <c r="A15" s="4"/>
      <c r="B15" s="11" t="s">
        <v>200</v>
      </c>
      <c r="C15" s="21" t="s">
        <v>201</v>
      </c>
      <c r="D15" s="21"/>
      <c r="E15" s="12"/>
    </row>
    <row r="16" spans="1:5" ht="14" x14ac:dyDescent="0.3">
      <c r="B16" s="198" t="s">
        <v>202</v>
      </c>
      <c r="C16" s="6"/>
      <c r="D16" s="115">
        <f>1/E16</f>
        <v>0.125</v>
      </c>
      <c r="E16" s="240">
        <v>8</v>
      </c>
    </row>
    <row r="17" spans="1:6" ht="14" x14ac:dyDescent="0.3">
      <c r="B17" s="3" t="s">
        <v>203</v>
      </c>
      <c r="C17" s="6"/>
      <c r="D17" s="129" t="str">
        <f>IF(LEFT(E17,3)="(+)","+","-")</f>
        <v>-</v>
      </c>
      <c r="E17" s="33" t="s">
        <v>204</v>
      </c>
      <c r="F17" s="6"/>
    </row>
    <row r="18" spans="1:6" ht="14" x14ac:dyDescent="0.3">
      <c r="B18" s="3" t="s">
        <v>205</v>
      </c>
      <c r="D18" s="129" t="str">
        <f t="shared" ref="D18:D19" si="1">IF(LEFT(E18,3)="(+)","+","-")</f>
        <v>-</v>
      </c>
      <c r="E18" s="178" t="s">
        <v>206</v>
      </c>
    </row>
    <row r="19" spans="1:6" ht="14" x14ac:dyDescent="0.3">
      <c r="B19" s="3" t="s">
        <v>207</v>
      </c>
      <c r="D19" s="129" t="str">
        <f t="shared" si="1"/>
        <v>+</v>
      </c>
      <c r="E19" s="33" t="s">
        <v>208</v>
      </c>
    </row>
    <row r="20" spans="1:6" ht="14" x14ac:dyDescent="0.3">
      <c r="B20" s="126" t="s">
        <v>209</v>
      </c>
      <c r="D20" s="129" t="str">
        <f>D17&amp;D18&amp;D19</f>
        <v>--+</v>
      </c>
      <c r="E20" s="179" t="str">
        <f>IF(D20="+-+","Growth", IF(D20="+--","Mature", "Shakeout/Decline")) &amp; " stage"</f>
        <v>Shakeout/Decline stage</v>
      </c>
    </row>
    <row r="21" spans="1:6" ht="14" x14ac:dyDescent="0.3">
      <c r="B21" s="126" t="s">
        <v>210</v>
      </c>
      <c r="D21" s="115">
        <f>1/E21</f>
        <v>0.125</v>
      </c>
      <c r="E21" s="240">
        <f>IF(LEFT(E20,1)="G", E16/2.4, IF(LEFT(E20,1)="M", E16/1.8, E16))</f>
        <v>8</v>
      </c>
      <c r="F21" s="6"/>
    </row>
    <row r="22" spans="1:6" ht="15" customHeight="1" x14ac:dyDescent="0.3">
      <c r="E22" s="6"/>
    </row>
    <row r="23" spans="1:6" ht="15" customHeight="1" x14ac:dyDescent="0.3">
      <c r="A23" s="4"/>
      <c r="B23" s="11" t="s">
        <v>211</v>
      </c>
      <c r="C23" s="21"/>
      <c r="D23" s="21"/>
      <c r="E23" s="12"/>
    </row>
    <row r="24" spans="1:6" ht="15" customHeight="1" x14ac:dyDescent="0.3">
      <c r="B24" s="128" t="s">
        <v>212</v>
      </c>
      <c r="C24" s="121"/>
      <c r="E24" s="6"/>
    </row>
    <row r="25" spans="1:6" ht="15" customHeight="1" x14ac:dyDescent="0.3">
      <c r="B25" s="55" t="s">
        <v>282</v>
      </c>
      <c r="D25" s="129">
        <f>IF(E25="Strongly disagree",0,IF(E25="disagree",1,IF(E25="unclear",2,IF(E25="agree",3,4))))</f>
        <v>0</v>
      </c>
      <c r="E25" s="130" t="str">
        <f>E11</f>
        <v>Strongly disagree</v>
      </c>
      <c r="F25" s="6"/>
    </row>
    <row r="26" spans="1:6" ht="15" customHeight="1" x14ac:dyDescent="0.3">
      <c r="B26" s="55" t="s">
        <v>213</v>
      </c>
      <c r="D26" s="129">
        <f>IF(E26="Strongly disagree",0,IF(E26="disagree",1,IF(E26="unclear",2,IF(E26="agree",3,4))))</f>
        <v>2</v>
      </c>
      <c r="E26" s="33" t="s">
        <v>190</v>
      </c>
      <c r="F26" s="6"/>
    </row>
    <row r="27" spans="1:6" ht="15" customHeight="1" x14ac:dyDescent="0.3">
      <c r="B27" s="55" t="s">
        <v>214</v>
      </c>
      <c r="D27" s="129">
        <f>IF(E27="Strongly disagree",0,IF(E27="disagree",1,IF(E27="unclear",2,IF(E27="agree",3,4))))</f>
        <v>2</v>
      </c>
      <c r="E27" s="33" t="s">
        <v>190</v>
      </c>
      <c r="F27" s="6"/>
    </row>
    <row r="28" spans="1:6" ht="15" customHeight="1" x14ac:dyDescent="0.3">
      <c r="B28" s="55" t="s">
        <v>215</v>
      </c>
      <c r="D28" s="129">
        <f>IF(E28="Strongly disagree",0,IF(E28="disagree",1,IF(E28="unclear",2,IF(E28="agree",3,4))))</f>
        <v>2</v>
      </c>
      <c r="E28" s="33" t="s">
        <v>190</v>
      </c>
      <c r="F28" s="6"/>
    </row>
    <row r="29" spans="1:6" ht="15" customHeight="1" x14ac:dyDescent="0.3">
      <c r="B29" s="55" t="s">
        <v>217</v>
      </c>
      <c r="D29" s="129">
        <f>IF(E29="Strongly disagree",0,IF(E29="disagree",1,IF(E29="unclear",2,IF(E29="agree",3,4))))</f>
        <v>4</v>
      </c>
      <c r="E29" s="33" t="s">
        <v>218</v>
      </c>
      <c r="F29" s="6"/>
    </row>
    <row r="30" spans="1:6" ht="15" customHeight="1" x14ac:dyDescent="0.3">
      <c r="B30" s="128" t="s">
        <v>219</v>
      </c>
      <c r="D30" s="40"/>
      <c r="E30" s="24"/>
    </row>
    <row r="31" spans="1:6" ht="15" customHeight="1" x14ac:dyDescent="0.3">
      <c r="B31" s="55" t="s">
        <v>220</v>
      </c>
      <c r="D31" s="129">
        <f>IF(E31="Strongly disagree",0,IF(E31="disagree",1,IF(E31="unclear",2,IF(E31="agree",3,4))))</f>
        <v>4</v>
      </c>
      <c r="E31" s="51" t="str">
        <f>IF(OR(Asset_Model!I24&lt;0.8,Asset_Model!I44&lt;0.6),"Strongly disagree",
IF(OR(Asset_Model!I24&lt;1,Asset_Model!I44&lt;0.8),"unclear", IF(OR(Asset_Model!I24&lt;1.8,Asset_Model!I44&lt;1.4),"agree","Strongly agree"))
)</f>
        <v>Strongly agree</v>
      </c>
      <c r="F31" s="6"/>
    </row>
    <row r="32" spans="1:6" ht="15" customHeight="1" x14ac:dyDescent="0.3">
      <c r="B32" s="55" t="s">
        <v>221</v>
      </c>
      <c r="D32" s="129">
        <f t="shared" ref="D32:D35" si="2">IF(E32="Strongly disagree",0,IF(E32="disagree",1,IF(E32="unclear",2,IF(E32="agree",3,4))))</f>
        <v>1</v>
      </c>
      <c r="E32" s="33" t="s">
        <v>216</v>
      </c>
      <c r="F32" s="6"/>
    </row>
    <row r="33" spans="2:6" ht="15" customHeight="1" x14ac:dyDescent="0.3">
      <c r="B33" s="55" t="s">
        <v>222</v>
      </c>
      <c r="D33" s="129">
        <f t="shared" si="2"/>
        <v>0</v>
      </c>
      <c r="E33" s="33" t="s">
        <v>234</v>
      </c>
      <c r="F33" s="6"/>
    </row>
    <row r="34" spans="2:6" ht="15" customHeight="1" x14ac:dyDescent="0.3">
      <c r="B34" s="55" t="s">
        <v>223</v>
      </c>
      <c r="D34" s="129">
        <f t="shared" si="2"/>
        <v>2</v>
      </c>
      <c r="E34" s="33" t="s">
        <v>190</v>
      </c>
      <c r="F34" s="6"/>
    </row>
    <row r="35" spans="2:6" ht="15" customHeight="1" x14ac:dyDescent="0.3">
      <c r="B35" s="55" t="s">
        <v>224</v>
      </c>
      <c r="D35" s="129">
        <f t="shared" si="2"/>
        <v>1</v>
      </c>
      <c r="E35" s="33" t="s">
        <v>216</v>
      </c>
      <c r="F35" s="6"/>
    </row>
    <row r="36" spans="2:6" ht="15" customHeight="1" x14ac:dyDescent="0.3">
      <c r="B36" s="128" t="s">
        <v>225</v>
      </c>
      <c r="D36" s="40"/>
      <c r="E36" s="24"/>
    </row>
    <row r="37" spans="2:6" ht="15" customHeight="1" x14ac:dyDescent="0.3">
      <c r="B37" s="55" t="s">
        <v>226</v>
      </c>
      <c r="D37" s="129">
        <f t="shared" ref="D37:D41" si="3">IF(E37="Strongly disagree",0,IF(E37="disagree",1,IF(E37="unclear",2,IF(E37="agree",3,4))))</f>
        <v>4</v>
      </c>
      <c r="E37" s="33" t="s">
        <v>218</v>
      </c>
      <c r="F37" s="6"/>
    </row>
    <row r="38" spans="2:6" ht="15" customHeight="1" x14ac:dyDescent="0.3">
      <c r="B38" s="55" t="s">
        <v>227</v>
      </c>
      <c r="D38" s="129">
        <f t="shared" si="3"/>
        <v>3</v>
      </c>
      <c r="E38" s="33" t="s">
        <v>192</v>
      </c>
      <c r="F38" s="6"/>
    </row>
    <row r="39" spans="2:6" ht="15" customHeight="1" x14ac:dyDescent="0.3">
      <c r="B39" s="55" t="s">
        <v>228</v>
      </c>
      <c r="D39" s="129">
        <f t="shared" si="3"/>
        <v>3</v>
      </c>
      <c r="E39" s="33" t="s">
        <v>192</v>
      </c>
      <c r="F39" s="6"/>
    </row>
    <row r="40" spans="2:6" ht="15" customHeight="1" x14ac:dyDescent="0.3">
      <c r="B40" s="55" t="s">
        <v>229</v>
      </c>
      <c r="D40" s="129">
        <f t="shared" si="3"/>
        <v>2</v>
      </c>
      <c r="E40" s="33" t="s">
        <v>190</v>
      </c>
      <c r="F40" s="6"/>
    </row>
    <row r="41" spans="2:6" ht="15" customHeight="1" x14ac:dyDescent="0.3">
      <c r="B41" s="55" t="s">
        <v>230</v>
      </c>
      <c r="D41" s="129">
        <f t="shared" si="3"/>
        <v>3</v>
      </c>
      <c r="E41" s="33" t="s">
        <v>192</v>
      </c>
      <c r="F41" s="6"/>
    </row>
    <row r="42" spans="2:6" ht="15" customHeight="1" x14ac:dyDescent="0.3">
      <c r="B42" s="128" t="s">
        <v>231</v>
      </c>
      <c r="D42" s="40"/>
      <c r="E42" s="24"/>
    </row>
    <row r="43" spans="2:6" ht="15" customHeight="1" x14ac:dyDescent="0.3">
      <c r="B43" s="1" t="s">
        <v>232</v>
      </c>
      <c r="D43" s="132">
        <f>SUM(D44:D49)/(6*4)</f>
        <v>0.66666666666666663</v>
      </c>
      <c r="E43" s="51" t="str">
        <f>IF(D43&gt;80%,"Very High",IF(D43&lt;=20%,"Very Low",IF(D43&lt;=40%,"Low",IF(D43&lt;=60%,"Medium","High"))))</f>
        <v>High</v>
      </c>
      <c r="F43" s="6"/>
    </row>
    <row r="44" spans="2:6" ht="15" customHeight="1" x14ac:dyDescent="0.3">
      <c r="B44" s="55" t="s">
        <v>233</v>
      </c>
      <c r="D44" s="129">
        <f t="shared" ref="D44:D49" si="4">IF(E44="Strongly disagree",0,IF(E44="disagree",1,IF(E44="unclear",2,IF(E44="agree",3,4))))</f>
        <v>2</v>
      </c>
      <c r="E44" s="33" t="s">
        <v>190</v>
      </c>
      <c r="F44" s="6"/>
    </row>
    <row r="45" spans="2:6" ht="15" customHeight="1" x14ac:dyDescent="0.3">
      <c r="B45" s="55" t="s">
        <v>235</v>
      </c>
      <c r="D45" s="129">
        <f t="shared" si="4"/>
        <v>4</v>
      </c>
      <c r="E45" s="33" t="s">
        <v>218</v>
      </c>
      <c r="F45" s="6"/>
    </row>
    <row r="46" spans="2:6" ht="15" customHeight="1" x14ac:dyDescent="0.3">
      <c r="B46" s="55" t="s">
        <v>236</v>
      </c>
      <c r="D46" s="129">
        <f t="shared" si="4"/>
        <v>4</v>
      </c>
      <c r="E46" s="33" t="s">
        <v>218</v>
      </c>
      <c r="F46" s="6"/>
    </row>
    <row r="47" spans="2:6" ht="15" customHeight="1" x14ac:dyDescent="0.3">
      <c r="B47" s="55" t="s">
        <v>237</v>
      </c>
      <c r="D47" s="129">
        <f t="shared" si="4"/>
        <v>0</v>
      </c>
      <c r="E47" s="33" t="s">
        <v>234</v>
      </c>
      <c r="F47" s="6"/>
    </row>
    <row r="48" spans="2:6" ht="15" customHeight="1" x14ac:dyDescent="0.3">
      <c r="B48" s="55" t="s">
        <v>238</v>
      </c>
      <c r="D48" s="129">
        <f t="shared" si="4"/>
        <v>2</v>
      </c>
      <c r="E48" s="33" t="s">
        <v>190</v>
      </c>
      <c r="F48" s="6"/>
    </row>
    <row r="49" spans="2:6" ht="15" customHeight="1" x14ac:dyDescent="0.3">
      <c r="B49" s="55" t="s">
        <v>283</v>
      </c>
      <c r="D49" s="129">
        <f t="shared" si="4"/>
        <v>4</v>
      </c>
      <c r="E49" s="33" t="s">
        <v>218</v>
      </c>
    </row>
    <row r="50" spans="2:6" ht="15" customHeight="1" x14ac:dyDescent="0.3">
      <c r="B50" s="1" t="s">
        <v>239</v>
      </c>
      <c r="D50" s="132">
        <f>SUM(D51:D56)/(6*4)</f>
        <v>0</v>
      </c>
      <c r="E50" s="51" t="str">
        <f>IF(D50&gt;80%,"Very High",IF(D50&lt;=20%,"Very Low",IF(D50&lt;=40%,"Low",IF(D50&lt;=60%,"Medium","High"))))</f>
        <v>Very Low</v>
      </c>
      <c r="F50" s="6"/>
    </row>
    <row r="51" spans="2:6" ht="15" customHeight="1" x14ac:dyDescent="0.3">
      <c r="B51" s="55" t="s">
        <v>240</v>
      </c>
      <c r="D51" s="129">
        <f t="shared" ref="D51:D56" si="5">IF(E51="Strongly disagree",0,IF(E51="disagree",1,IF(E51="unclear",2,IF(E51="agree",3,4))))</f>
        <v>0</v>
      </c>
      <c r="E51" s="33" t="s">
        <v>234</v>
      </c>
      <c r="F51" s="6"/>
    </row>
    <row r="52" spans="2:6" ht="15" customHeight="1" x14ac:dyDescent="0.3">
      <c r="B52" s="55" t="s">
        <v>241</v>
      </c>
      <c r="D52" s="129">
        <f t="shared" si="5"/>
        <v>0</v>
      </c>
      <c r="E52" s="33" t="s">
        <v>234</v>
      </c>
      <c r="F52" s="6"/>
    </row>
    <row r="53" spans="2:6" ht="15" customHeight="1" x14ac:dyDescent="0.3">
      <c r="B53" s="55" t="s">
        <v>242</v>
      </c>
      <c r="D53" s="129">
        <f t="shared" si="5"/>
        <v>0</v>
      </c>
      <c r="E53" s="33" t="s">
        <v>234</v>
      </c>
      <c r="F53" s="6"/>
    </row>
    <row r="54" spans="2:6" ht="15" customHeight="1" x14ac:dyDescent="0.3">
      <c r="B54" s="55" t="s">
        <v>243</v>
      </c>
      <c r="D54" s="129">
        <f t="shared" si="5"/>
        <v>0</v>
      </c>
      <c r="E54" s="33" t="s">
        <v>234</v>
      </c>
      <c r="F54" s="6"/>
    </row>
    <row r="55" spans="2:6" ht="15" customHeight="1" x14ac:dyDescent="0.3">
      <c r="B55" s="55" t="s">
        <v>244</v>
      </c>
      <c r="D55" s="129">
        <f t="shared" si="5"/>
        <v>0</v>
      </c>
      <c r="E55" s="33" t="s">
        <v>234</v>
      </c>
      <c r="F55" s="6"/>
    </row>
    <row r="56" spans="2:6" ht="15" customHeight="1" x14ac:dyDescent="0.3">
      <c r="B56" s="55" t="s">
        <v>245</v>
      </c>
      <c r="D56" s="129">
        <f t="shared" si="5"/>
        <v>0</v>
      </c>
      <c r="E56" s="33" t="s">
        <v>234</v>
      </c>
    </row>
    <row r="57" spans="2:6" ht="15" customHeight="1" x14ac:dyDescent="0.3">
      <c r="B57" s="1" t="s">
        <v>246</v>
      </c>
      <c r="D57" s="132">
        <f>SUM(D58:D63)/(6*4)</f>
        <v>0.5</v>
      </c>
      <c r="E57" s="51" t="str">
        <f>IF(D57&gt;80%,"Very High",IF(D57&lt;=20%,"Very Low",IF(D57&lt;=40%,"Low",IF(D57&lt;=60%,"Medium","High"))))</f>
        <v>Medium</v>
      </c>
      <c r="F57" s="6"/>
    </row>
    <row r="58" spans="2:6" ht="15" customHeight="1" x14ac:dyDescent="0.3">
      <c r="B58" s="55" t="s">
        <v>247</v>
      </c>
      <c r="D58" s="129">
        <f t="shared" ref="D58:D63" si="6">IF(E58="Strongly disagree",0,IF(E58="disagree",1,IF(E58="unclear",2,IF(E58="agree",3,4))))</f>
        <v>1</v>
      </c>
      <c r="E58" s="33" t="s">
        <v>216</v>
      </c>
      <c r="F58" s="6"/>
    </row>
    <row r="59" spans="2:6" ht="15" customHeight="1" x14ac:dyDescent="0.3">
      <c r="B59" s="55" t="s">
        <v>248</v>
      </c>
      <c r="D59" s="129">
        <f t="shared" si="6"/>
        <v>3</v>
      </c>
      <c r="E59" s="33" t="s">
        <v>192</v>
      </c>
      <c r="F59" s="6"/>
    </row>
    <row r="60" spans="2:6" ht="15" customHeight="1" x14ac:dyDescent="0.3">
      <c r="B60" s="55" t="s">
        <v>249</v>
      </c>
      <c r="D60" s="129">
        <f t="shared" si="6"/>
        <v>4</v>
      </c>
      <c r="E60" s="33" t="s">
        <v>218</v>
      </c>
      <c r="F60" s="6"/>
    </row>
    <row r="61" spans="2:6" ht="15" customHeight="1" x14ac:dyDescent="0.3">
      <c r="B61" s="55" t="s">
        <v>250</v>
      </c>
      <c r="D61" s="129">
        <f t="shared" si="6"/>
        <v>0</v>
      </c>
      <c r="E61" s="33" t="s">
        <v>234</v>
      </c>
      <c r="F61" s="6"/>
    </row>
    <row r="62" spans="2:6" ht="15" customHeight="1" x14ac:dyDescent="0.3">
      <c r="B62" s="55" t="s">
        <v>251</v>
      </c>
      <c r="D62" s="129">
        <f t="shared" si="6"/>
        <v>4</v>
      </c>
      <c r="E62" s="33" t="s">
        <v>218</v>
      </c>
      <c r="F62" s="6"/>
    </row>
    <row r="63" spans="2:6" ht="15" customHeight="1" x14ac:dyDescent="0.3">
      <c r="B63" s="55" t="s">
        <v>284</v>
      </c>
      <c r="D63" s="129">
        <f t="shared" si="6"/>
        <v>0</v>
      </c>
      <c r="E63" s="33" t="s">
        <v>234</v>
      </c>
      <c r="F63" s="6"/>
    </row>
    <row r="64" spans="2:6" ht="15" customHeight="1" x14ac:dyDescent="0.3">
      <c r="B64" s="1" t="s">
        <v>252</v>
      </c>
      <c r="D64" s="132">
        <f>SUM(D65:D70)/(6*4)</f>
        <v>0.24773242630385486</v>
      </c>
      <c r="E64" s="51" t="str">
        <f>IF(D64&gt;80%,"Very High",IF(D64&lt;=20%,"Very Low",IF(D64&lt;=40%,"Low",IF(D64&lt;=60%,"Medium","High"))))</f>
        <v>Low</v>
      </c>
      <c r="F64" s="6"/>
    </row>
    <row r="65" spans="2:8" ht="15" customHeight="1" x14ac:dyDescent="0.3">
      <c r="B65" s="55" t="s">
        <v>253</v>
      </c>
      <c r="D65" s="129">
        <f t="shared" ref="D65:D68" si="7">IF(E65="Strongly disagree",0,IF(E65="disagree",1,IF(E65="unclear",2,IF(E65="agree",3,4))))</f>
        <v>0</v>
      </c>
      <c r="E65" s="33" t="s">
        <v>234</v>
      </c>
    </row>
    <row r="66" spans="2:8" ht="15" customHeight="1" x14ac:dyDescent="0.3">
      <c r="B66" s="55" t="s">
        <v>254</v>
      </c>
      <c r="D66" s="129">
        <f t="shared" si="7"/>
        <v>0</v>
      </c>
      <c r="E66" s="33" t="s">
        <v>234</v>
      </c>
      <c r="F66" s="6"/>
    </row>
    <row r="67" spans="2:8" ht="15" customHeight="1" x14ac:dyDescent="0.3">
      <c r="B67" s="55" t="s">
        <v>255</v>
      </c>
      <c r="D67" s="129">
        <f t="shared" si="7"/>
        <v>0</v>
      </c>
      <c r="E67" s="33" t="s">
        <v>234</v>
      </c>
      <c r="F67" s="5"/>
    </row>
    <row r="68" spans="2:8" ht="15" customHeight="1" x14ac:dyDescent="0.3">
      <c r="B68" s="55" t="s">
        <v>256</v>
      </c>
      <c r="D68" s="129">
        <f t="shared" si="7"/>
        <v>2</v>
      </c>
      <c r="E68" s="33" t="s">
        <v>190</v>
      </c>
    </row>
    <row r="69" spans="2:8" ht="15" customHeight="1" x14ac:dyDescent="0.3">
      <c r="B69" s="55" t="s">
        <v>257</v>
      </c>
      <c r="D69" s="129">
        <f>IF(E69="Strongly disagree",0,IF(E69="disagree",1,IF(E69="unclear",2,IF(E69="agree",3,4))))</f>
        <v>2</v>
      </c>
      <c r="E69" s="33" t="s">
        <v>190</v>
      </c>
      <c r="F69" s="55"/>
      <c r="G69" s="55"/>
      <c r="H69" s="55"/>
    </row>
    <row r="70" spans="2:8" ht="15" customHeight="1" x14ac:dyDescent="0.3">
      <c r="B70" s="55" t="s">
        <v>258</v>
      </c>
      <c r="D70" s="133">
        <f t="array" ref="D70">(1-INDEX(B84:E93,MATCH(E70,B84:B93,0),4))*4</f>
        <v>1.9455782312925169</v>
      </c>
      <c r="E70" s="33" t="s">
        <v>259</v>
      </c>
      <c r="F70" s="55"/>
      <c r="G70" s="55"/>
      <c r="H70" s="55"/>
    </row>
    <row r="71" spans="2:8" ht="15" customHeight="1" x14ac:dyDescent="0.3">
      <c r="B71" s="1" t="s">
        <v>260</v>
      </c>
      <c r="D71" s="134">
        <f>SUM(D72:D77)/(6*4)</f>
        <v>0.66666666666666663</v>
      </c>
      <c r="E71" s="51" t="str">
        <f>IF(D71&gt;80%,"Very High",IF(D71&lt;=20%,"Very Low",IF(D71&lt;=40%,"Low",IF(D71&lt;=60%,"Medium","High"))))</f>
        <v>High</v>
      </c>
      <c r="F71" s="55"/>
      <c r="G71" s="55"/>
      <c r="H71" s="55"/>
    </row>
    <row r="72" spans="2:8" ht="15" customHeight="1" x14ac:dyDescent="0.3">
      <c r="B72" s="55" t="s">
        <v>261</v>
      </c>
      <c r="D72" s="129">
        <f t="shared" ref="D72:D76" si="8">IF(E72="Strongly disagree",0,IF(E72="disagree",1,IF(E72="unclear",2,IF(E72="agree",3,4))))</f>
        <v>3</v>
      </c>
      <c r="E72" s="33" t="s">
        <v>192</v>
      </c>
      <c r="F72" s="55"/>
      <c r="G72" s="55"/>
      <c r="H72" s="55"/>
    </row>
    <row r="73" spans="2:8" ht="15" customHeight="1" x14ac:dyDescent="0.3">
      <c r="B73" s="55" t="s">
        <v>262</v>
      </c>
      <c r="D73" s="129">
        <f t="shared" si="8"/>
        <v>3</v>
      </c>
      <c r="E73" s="33" t="s">
        <v>192</v>
      </c>
      <c r="F73" s="55"/>
      <c r="G73" s="55"/>
      <c r="H73" s="55"/>
    </row>
    <row r="74" spans="2:8" ht="15" customHeight="1" x14ac:dyDescent="0.3">
      <c r="B74" s="55" t="s">
        <v>285</v>
      </c>
      <c r="D74" s="129">
        <f t="shared" si="8"/>
        <v>3</v>
      </c>
      <c r="E74" s="33" t="s">
        <v>192</v>
      </c>
      <c r="F74" s="55"/>
      <c r="G74" s="55"/>
      <c r="H74" s="55"/>
    </row>
    <row r="75" spans="2:8" ht="15" customHeight="1" x14ac:dyDescent="0.3">
      <c r="B75" s="55" t="s">
        <v>286</v>
      </c>
      <c r="D75" s="129">
        <f t="shared" si="8"/>
        <v>4</v>
      </c>
      <c r="E75" s="33" t="s">
        <v>218</v>
      </c>
      <c r="F75" s="55"/>
      <c r="G75" s="55"/>
      <c r="H75" s="55"/>
    </row>
    <row r="76" spans="2:8" ht="15" customHeight="1" x14ac:dyDescent="0.3">
      <c r="B76" s="55" t="s">
        <v>287</v>
      </c>
      <c r="D76" s="129">
        <f t="shared" si="8"/>
        <v>3</v>
      </c>
      <c r="E76" s="33" t="s">
        <v>192</v>
      </c>
      <c r="F76" s="55"/>
      <c r="G76" s="55"/>
      <c r="H76" s="55"/>
    </row>
    <row r="77" spans="2:8" ht="15" customHeight="1" x14ac:dyDescent="0.3">
      <c r="B77" s="55" t="s">
        <v>288</v>
      </c>
      <c r="D77" s="129">
        <f>IF(E77="Strongly disagree",0,IF(E77="disagree",1,IF(E77="non-perishable",2,IF(E77="agree",3,4))))</f>
        <v>0</v>
      </c>
      <c r="E77" s="33" t="s">
        <v>234</v>
      </c>
      <c r="F77" s="55"/>
      <c r="G77" s="55"/>
      <c r="H77" s="55"/>
    </row>
    <row r="78" spans="2:8" ht="15" customHeight="1" x14ac:dyDescent="0.3">
      <c r="B78" s="176" t="s">
        <v>263</v>
      </c>
      <c r="D78" s="156">
        <f>1-AVERAGE(D43,D50,D57,D64,D71)</f>
        <v>0.58378684807256243</v>
      </c>
      <c r="E78" s="51" t="str">
        <f>IF(D78&gt;80%,"Very Low",IF(D78&lt;=20%,"Very High",IF(D78&lt;=40%,"High",IF(D78&lt;=60%,"Medium","Low"))))</f>
        <v>Medium</v>
      </c>
      <c r="F78" s="55"/>
      <c r="G78" s="55"/>
      <c r="H78" s="55"/>
    </row>
    <row r="79" spans="2:8" ht="15" customHeight="1" x14ac:dyDescent="0.3">
      <c r="D79" s="6"/>
    </row>
    <row r="80" spans="2:8" ht="15" customHeight="1" x14ac:dyDescent="0.3">
      <c r="B80" s="126" t="s">
        <v>264</v>
      </c>
      <c r="D80" s="122">
        <f>E80*4</f>
        <v>2.2337868480725622</v>
      </c>
      <c r="E80" s="155">
        <f>AVERAGE(AVERAGE(D25:D29)/4,AVERAGE(D31:D35)/4,AVERAGE(D37:D41)/4,D78)</f>
        <v>0.55844671201814056</v>
      </c>
    </row>
    <row r="82" spans="2:5" ht="15" customHeight="1" x14ac:dyDescent="0.3">
      <c r="B82" s="56" t="s">
        <v>265</v>
      </c>
      <c r="C82" s="7"/>
      <c r="D82" s="7"/>
      <c r="E82" s="58"/>
    </row>
    <row r="83" spans="2:5" ht="15" customHeight="1" x14ac:dyDescent="0.3">
      <c r="B83" s="135" t="s">
        <v>266</v>
      </c>
      <c r="C83" s="136"/>
      <c r="D83" s="136"/>
      <c r="E83" s="137"/>
    </row>
    <row r="84" spans="2:5" ht="15" customHeight="1" x14ac:dyDescent="0.3">
      <c r="B84" s="138" t="s">
        <v>267</v>
      </c>
      <c r="C84" s="136"/>
      <c r="D84" s="136">
        <v>1</v>
      </c>
      <c r="E84" s="139">
        <f t="shared" ref="E84:E92" si="9">D84/MAX($D$84:$D$93)</f>
        <v>3.4013605442176874E-2</v>
      </c>
    </row>
    <row r="85" spans="2:5" ht="15" customHeight="1" x14ac:dyDescent="0.3">
      <c r="B85" s="138" t="str">
        <f t="shared" ref="B85:B93" si="10">C85&amp;", "&amp;D85&amp;"y"</f>
        <v>Information Technology Like, 6.6y</v>
      </c>
      <c r="C85" s="136" t="s">
        <v>268</v>
      </c>
      <c r="D85" s="136">
        <v>6.6</v>
      </c>
      <c r="E85" s="139">
        <f t="shared" si="9"/>
        <v>0.22448979591836735</v>
      </c>
    </row>
    <row r="86" spans="2:5" ht="15" customHeight="1" x14ac:dyDescent="0.3">
      <c r="B86" s="138" t="str">
        <f t="shared" si="10"/>
        <v>Healthcare, 11.4y</v>
      </c>
      <c r="C86" s="136" t="s">
        <v>269</v>
      </c>
      <c r="D86" s="136">
        <v>11.4</v>
      </c>
      <c r="E86" s="139">
        <f t="shared" si="9"/>
        <v>0.38775510204081637</v>
      </c>
    </row>
    <row r="87" spans="2:5" ht="15" customHeight="1" x14ac:dyDescent="0.3">
      <c r="B87" s="138" t="str">
        <f t="shared" si="10"/>
        <v>Consumer Discretionary, 12.4y</v>
      </c>
      <c r="C87" s="136" t="s">
        <v>270</v>
      </c>
      <c r="D87" s="136">
        <v>12.4</v>
      </c>
      <c r="E87" s="139">
        <f t="shared" si="9"/>
        <v>0.42176870748299322</v>
      </c>
    </row>
    <row r="88" spans="2:5" ht="15" customHeight="1" x14ac:dyDescent="0.3">
      <c r="B88" s="138" t="str">
        <f t="shared" si="10"/>
        <v>Consumer Staples, 15.1y</v>
      </c>
      <c r="C88" s="136" t="s">
        <v>271</v>
      </c>
      <c r="D88" s="136">
        <v>15.1</v>
      </c>
      <c r="E88" s="139">
        <f t="shared" si="9"/>
        <v>0.51360544217687076</v>
      </c>
    </row>
    <row r="89" spans="2:5" ht="15" customHeight="1" x14ac:dyDescent="0.3">
      <c r="B89" s="138" t="str">
        <f t="shared" si="10"/>
        <v>Industrials, 15.4y</v>
      </c>
      <c r="C89" s="136" t="s">
        <v>272</v>
      </c>
      <c r="D89" s="136">
        <v>15.4</v>
      </c>
      <c r="E89" s="139">
        <f t="shared" si="9"/>
        <v>0.52380952380952384</v>
      </c>
    </row>
    <row r="90" spans="2:5" ht="15" customHeight="1" x14ac:dyDescent="0.3">
      <c r="B90" s="138" t="str">
        <f t="shared" si="10"/>
        <v>Telecommunication Services, 16.1y</v>
      </c>
      <c r="C90" s="136" t="s">
        <v>273</v>
      </c>
      <c r="D90" s="136">
        <v>16.100000000000001</v>
      </c>
      <c r="E90" s="139">
        <f t="shared" si="9"/>
        <v>0.54761904761904767</v>
      </c>
    </row>
    <row r="91" spans="2:5" ht="15" customHeight="1" x14ac:dyDescent="0.3">
      <c r="B91" s="138" t="str">
        <f t="shared" si="10"/>
        <v>Energy, 17.6y</v>
      </c>
      <c r="C91" s="136" t="s">
        <v>274</v>
      </c>
      <c r="D91" s="136">
        <v>17.600000000000001</v>
      </c>
      <c r="E91" s="139">
        <f t="shared" si="9"/>
        <v>0.59863945578231303</v>
      </c>
    </row>
    <row r="92" spans="2:5" ht="15" customHeight="1" x14ac:dyDescent="0.3">
      <c r="B92" s="138" t="str">
        <f t="shared" si="10"/>
        <v>Materials, 18.6y</v>
      </c>
      <c r="C92" s="136" t="s">
        <v>275</v>
      </c>
      <c r="D92" s="136">
        <v>18.600000000000001</v>
      </c>
      <c r="E92" s="139">
        <f t="shared" si="9"/>
        <v>0.63265306122448983</v>
      </c>
    </row>
    <row r="93" spans="2:5" ht="15" customHeight="1" x14ac:dyDescent="0.3">
      <c r="B93" s="140" t="str">
        <f t="shared" si="10"/>
        <v>Utilities, 29.4y</v>
      </c>
      <c r="C93" s="141" t="s">
        <v>276</v>
      </c>
      <c r="D93" s="141">
        <v>29.4</v>
      </c>
      <c r="E93" s="142">
        <f>D93/MAX($D$85:$D$93)</f>
        <v>1</v>
      </c>
    </row>
  </sheetData>
  <dataConsolidate/>
  <dataValidations count="9">
    <dataValidation type="list" allowBlank="1" sqref="E43 E50 E57 E64 E71" xr:uid="{00000000-0002-0000-0400-000003000000}">
      <formula1>"Very High,High,Medium,Low,Very Low"</formula1>
    </dataValidation>
    <dataValidation type="list" allowBlank="1" sqref="E4:E7 E32:E35 E37:E41 E51:E56 E26:E29 E10 E44:E49 E65:E69 E58:E63 E72:E76" xr:uid="{00000000-0002-0000-0400-000005000000}">
      <formula1>"Strongly agree,agree,unclear,disagree,Strongly disagree"</formula1>
    </dataValidation>
    <dataValidation type="list" allowBlank="1" sqref="E77" xr:uid="{00000000-0002-0000-0400-000009000000}">
      <formula1>"Strongly agree,agree,non-perishable,disagree,Strongly disagree"</formula1>
    </dataValidation>
    <dataValidation allowBlank="1" sqref="E25 E11:E12" xr:uid="{FBCCA791-86B6-4660-95B3-845402529B68}"/>
    <dataValidation type="list" allowBlank="1" showInputMessage="1" showErrorMessage="1" sqref="E70" xr:uid="{B3C242EB-7F6A-4B7F-83D0-5CE118336997}">
      <formula1>B84:B93</formula1>
    </dataValidation>
    <dataValidation type="list" allowBlank="1" sqref="E17" xr:uid="{00879E06-D1C6-4C7D-A498-33F03425939D}">
      <formula1>"(+) Healthy/Increasing CFO, (-) Low/Decreasing CFO"</formula1>
    </dataValidation>
    <dataValidation type="list" allowBlank="1" sqref="E18" xr:uid="{9ED192E6-28C4-4D51-A598-11CB45566EF9}">
      <formula1>"(+) High/Increasing CFI, (-) Low/Decreasing CFI"</formula1>
    </dataValidation>
    <dataValidation type="list" allowBlank="1" sqref="E19" xr:uid="{75670AFC-9391-474D-B260-21AA7EF2CDC8}">
      <formula1>"(+) High/Increasing CFF, (-) Low/Decreasing CFF"</formula1>
    </dataValidation>
    <dataValidation type="list" allowBlank="1" sqref="E70" xr:uid="{169E40E7-6BB6-45A2-B725-216376F63A8D}">
      <formula1>$B$84:$B$93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2023-02-24T03:01:17Z</dcterms:modified>
  <cp:category/>
  <cp:contentStatus/>
</cp:coreProperties>
</file>