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83AA9726-0D52-4D3F-9399-F524D40367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8" i="1" l="1"/>
  <c r="D17" i="1"/>
  <c r="D16" i="1"/>
  <c r="B17" i="1"/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E45" i="1" l="1"/>
  <c r="F45" i="1"/>
  <c r="C32" i="4"/>
  <c r="E14" i="1"/>
  <c r="E27" i="4"/>
  <c r="F27" i="4"/>
  <c r="F31" i="4"/>
  <c r="E31" i="4"/>
  <c r="E46" i="1" l="1"/>
  <c r="E49" i="1" s="1"/>
  <c r="F46" i="1"/>
  <c r="F49" i="1" s="1"/>
  <c r="F48" i="1"/>
  <c r="F50" i="1"/>
  <c r="E50" i="1"/>
  <c r="E48" i="1"/>
  <c r="F32" i="4"/>
  <c r="E32" i="4"/>
  <c r="I36" i="1"/>
  <c r="H17" i="1"/>
  <c r="J17" i="1"/>
  <c r="F51" i="1" l="1"/>
  <c r="E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<sst xmlns="http://schemas.openxmlformats.org/spreadsheetml/2006/main" count="411" uniqueCount="342">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</sst>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D18" sqref="D1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324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325</v>
      </c>
      <c r="D4" s="375"/>
      <c r="E4" s="6"/>
      <c r="G4" s="5" t="s">
        <v>5</v>
      </c>
      <c r="I4" s="32">
        <v>1.61</v>
      </c>
      <c r="J4" s="33" t="s">
        <v>6</v>
      </c>
      <c r="K4" s="149"/>
    </row>
    <row r="5" spans="1:12" ht="15.75" customHeight="1">
      <c r="B5" s="5" t="s">
        <v>7</v>
      </c>
      <c r="C5" s="376">
        <v>44931</v>
      </c>
      <c r="D5" s="375"/>
      <c r="E5" s="120" t="str">
        <f ca="1">IF(C5+30&gt;=TODAY(),"Patience Premium","")</f>
        <v/>
      </c>
      <c r="G5" s="5" t="s">
        <v>8</v>
      </c>
      <c r="I5" s="386">
        <v>1333330048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2146.6613772800001</v>
      </c>
      <c r="J6" s="389"/>
      <c r="K6" s="148"/>
    </row>
    <row r="7" spans="1:12" ht="15.75" customHeight="1">
      <c r="B7" s="136" t="s">
        <v>10</v>
      </c>
      <c r="C7" s="142">
        <f>(Data!C39*Exchange_Rate)/I4</f>
        <v>4.8913322379187579E-2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30.362653657687101</v>
      </c>
      <c r="J9" s="48">
        <f>IF(I9="NNI","NNI",1/I9)</f>
        <v>3.2935197669944891E-2</v>
      </c>
    </row>
    <row r="10" spans="1:12" ht="15.75" customHeight="1">
      <c r="B10" s="3" t="s">
        <v>255</v>
      </c>
      <c r="C10" s="279" t="s">
        <v>328</v>
      </c>
      <c r="D10" s="279">
        <v>2.9000000000000001E-2</v>
      </c>
      <c r="E10" s="5"/>
      <c r="G10" s="5" t="s">
        <v>14</v>
      </c>
      <c r="I10" s="135">
        <f>I4/(Data!C28*I12*Data!C4/Common_Shares)</f>
        <v>0.69699818469665475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1.0922403335571289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1.6461152182382521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1.61</v>
      </c>
      <c r="C16" s="450">
        <v>0.1</v>
      </c>
      <c r="D16" s="156">
        <f>I35/B16-(1+C16)</f>
        <v>9.2337896787899831E-2</v>
      </c>
      <c r="E16" s="393" t="s">
        <v>23</v>
      </c>
      <c r="F16" s="390">
        <f>('FCFF Model'!G16)*Exchange_Rate</f>
        <v>1.9072584257128637</v>
      </c>
      <c r="G16" s="393" t="s">
        <v>24</v>
      </c>
      <c r="H16" s="355">
        <f>B16-$F$16</f>
        <v>-0.29725842571286365</v>
      </c>
      <c r="I16" s="411">
        <v>0.42</v>
      </c>
      <c r="J16" s="158">
        <f>I16/B16</f>
        <v>0.2608695652173913</v>
      </c>
    </row>
    <row r="17" spans="1:10" ht="15.75" customHeight="1">
      <c r="B17" s="269">
        <f>I35/(1+C16)</f>
        <v>1.7451491034804716</v>
      </c>
      <c r="C17" s="451"/>
      <c r="D17" s="268">
        <f>I35/B17-(1+C16)</f>
        <v>0</v>
      </c>
      <c r="E17" s="394"/>
      <c r="F17" s="391"/>
      <c r="G17" s="394"/>
      <c r="H17" s="356">
        <f>B17-$F$16</f>
        <v>-0.16210932223239216</v>
      </c>
      <c r="I17" s="412"/>
      <c r="J17" s="159">
        <f>I16/B17</f>
        <v>0.24066711501175742</v>
      </c>
    </row>
    <row r="18" spans="1:10" ht="15.75" customHeight="1">
      <c r="B18" s="323">
        <f>C35</f>
        <v>1.42</v>
      </c>
      <c r="C18" s="452"/>
      <c r="D18" s="157">
        <f>I35/B18-(1+C16)</f>
        <v>0.25187606607642166</v>
      </c>
      <c r="E18" s="395"/>
      <c r="F18" s="392"/>
      <c r="G18" s="395"/>
      <c r="H18" s="357">
        <f>B18-$F$16</f>
        <v>-0.48725842571286382</v>
      </c>
      <c r="I18" s="413"/>
      <c r="J18" s="160">
        <f>I16/B18</f>
        <v>0.29577464788732394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329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330</v>
      </c>
      <c r="D22" s="398"/>
      <c r="E22" s="398"/>
      <c r="F22" s="398"/>
      <c r="G22" s="397" t="s">
        <v>331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0.25</v>
      </c>
    </row>
    <row r="26" spans="1:10" ht="15.75" customHeight="1">
      <c r="B26" s="23" t="s">
        <v>31</v>
      </c>
      <c r="C26" s="377">
        <v>44932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0.15509090909090908</v>
      </c>
      <c r="D27" s="409"/>
      <c r="E27" s="408">
        <f>E31/D25</f>
        <v>0.12909090909090909</v>
      </c>
      <c r="F27" s="409"/>
      <c r="G27" s="415">
        <f>G31/D25</f>
        <v>0</v>
      </c>
      <c r="H27" s="416"/>
      <c r="I27" s="414">
        <f>C27+E27+G27</f>
        <v>0.2841818181818182</v>
      </c>
      <c r="J27" s="414"/>
    </row>
    <row r="28" spans="1:10" ht="15.75" customHeight="1">
      <c r="B28" s="23" t="s">
        <v>34</v>
      </c>
      <c r="C28" s="433">
        <v>60000</v>
      </c>
      <c r="D28" s="398"/>
      <c r="E28" s="433">
        <v>60000</v>
      </c>
      <c r="F28" s="398"/>
      <c r="G28" s="386"/>
      <c r="H28" s="387"/>
      <c r="I28" s="423">
        <f>C28+E28+G28</f>
        <v>120000</v>
      </c>
      <c r="J28" s="423"/>
    </row>
    <row r="29" spans="1:10" ht="15.75" customHeight="1">
      <c r="B29" s="23" t="s">
        <v>35</v>
      </c>
      <c r="C29" s="434">
        <v>1.706</v>
      </c>
      <c r="D29" s="398"/>
      <c r="E29" s="434">
        <v>1.42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1">
        <f>C29*$I$5/1000000</f>
        <v>2274.6610618879999</v>
      </c>
      <c r="D30" s="429"/>
      <c r="E30" s="421">
        <f>E29*$I$5/1000000</f>
        <v>1893.3286681599998</v>
      </c>
      <c r="F30" s="429"/>
      <c r="G30" s="368">
        <f>G29*$I$5/1000000</f>
        <v>0</v>
      </c>
      <c r="H30" s="369"/>
      <c r="I30" s="420"/>
      <c r="J30" s="420"/>
    </row>
    <row r="31" spans="1:10" ht="15.75" customHeight="1">
      <c r="B31" s="2" t="s">
        <v>37</v>
      </c>
      <c r="C31" s="430">
        <f>C28*C29</f>
        <v>102360</v>
      </c>
      <c r="D31" s="431"/>
      <c r="E31" s="422">
        <f>E28*E29</f>
        <v>85200</v>
      </c>
      <c r="F31" s="432"/>
      <c r="G31" s="370">
        <f>G28*G29</f>
        <v>0</v>
      </c>
      <c r="H31" s="371"/>
      <c r="I31" s="422">
        <f>C31+E31+G31</f>
        <v>187560</v>
      </c>
      <c r="J31" s="422"/>
    </row>
    <row r="32" spans="1:10" ht="15.75" customHeight="1">
      <c r="B32" s="1" t="s">
        <v>38</v>
      </c>
      <c r="C32" s="425"/>
      <c r="D32" s="426"/>
      <c r="E32" s="424">
        <f>IF(C31=0,"-",(C31+E31)/(C28+E28))</f>
        <v>1.5629999999999999</v>
      </c>
      <c r="F32" s="409"/>
      <c r="G32" s="115"/>
      <c r="H32" s="115"/>
      <c r="I32" s="424">
        <f>IF(I31=0,"",I31/I28)</f>
        <v>1.5629999999999999</v>
      </c>
      <c r="J32" s="424"/>
    </row>
    <row r="33" spans="2:11" ht="15.75" customHeight="1">
      <c r="B33" s="1" t="s">
        <v>39</v>
      </c>
      <c r="C33" s="427"/>
      <c r="D33" s="428"/>
      <c r="E33" s="421">
        <f>IF(E32="-","-",E32*$I$5/1000000)</f>
        <v>2083.9948650239999</v>
      </c>
      <c r="F33" s="429"/>
      <c r="G33" s="116"/>
      <c r="H33" s="116"/>
      <c r="I33" s="421">
        <f>IF(I32="","",I32*$I$5/1000000)</f>
        <v>2083.9948650239999</v>
      </c>
      <c r="J33" s="421"/>
    </row>
    <row r="34" spans="2:11" ht="15.75" customHeight="1"/>
    <row r="35" spans="2:11" ht="15.75" customHeight="1">
      <c r="B35" s="143" t="s">
        <v>286</v>
      </c>
      <c r="C35" s="364">
        <f>E29</f>
        <v>1.42</v>
      </c>
      <c r="D35" s="365"/>
      <c r="G35" s="366" t="s">
        <v>317</v>
      </c>
      <c r="H35" s="367"/>
      <c r="I35" s="362">
        <f>'FCFF Model'!C31</f>
        <v>1.9196640138285188</v>
      </c>
      <c r="J35" s="363"/>
    </row>
    <row r="36" spans="2:11" ht="15.75" customHeight="1">
      <c r="B36" s="143" t="s">
        <v>318</v>
      </c>
      <c r="C36" s="364">
        <f>E32</f>
        <v>1.5629999999999999</v>
      </c>
      <c r="D36" s="365"/>
      <c r="G36" s="361" t="s">
        <v>315</v>
      </c>
      <c r="H36" s="361"/>
      <c r="I36" s="362">
        <f>'FCFF Model'!C32</f>
        <v>1.516885717009649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0.1252426810249232</v>
      </c>
      <c r="F45" s="332">
        <f>I35/C36-1</f>
        <v>0.22819194742707549</v>
      </c>
    </row>
    <row r="46" spans="2:11" ht="15.75" customHeight="1">
      <c r="B46" s="3" t="s">
        <v>300</v>
      </c>
      <c r="E46" s="329">
        <f>'FCFF Model'!C32/C29-1</f>
        <v>-0.11085245192869342</v>
      </c>
      <c r="F46" s="332">
        <f>'FCFF Model'!C32/C36-1</f>
        <v>-2.9503699929847027E-2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0.57637101556823789</v>
      </c>
      <c r="F48" s="329">
        <f>IF(F45&lt;=0,0,AVERAGE(F39:F41,1-F42,F45/J25))</f>
        <v>0.65873042868995968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1.1298142607209662</v>
      </c>
      <c r="F49" s="328">
        <f>IF(F46&gt;=0,100,F45/ABS(F46))</f>
        <v>7.7343501991161503</v>
      </c>
      <c r="G49" s="73"/>
    </row>
    <row r="50" spans="2:9" ht="15.75" customHeight="1">
      <c r="B50" s="3" t="s">
        <v>340</v>
      </c>
      <c r="E50" s="358">
        <f>MAX(J25*2/E45,1)</f>
        <v>3.9922492548726289</v>
      </c>
      <c r="F50" s="358">
        <f>MAX(J25*2/F45,1)</f>
        <v>2.1911377927119347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5.0451879245001476E-2</v>
      </c>
      <c r="F51" s="327">
        <f>MIN(MAX(F48-ABS((1-F48)/F49),0)/F50,H51)</f>
        <v>0.28049652865023045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2.3039280126089374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1.516885717009649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5">
        <f>D53+D54+D55</f>
        <v>16614</v>
      </c>
      <c r="E52" s="436"/>
      <c r="F52" s="53"/>
      <c r="G52" s="53"/>
    </row>
    <row r="53" spans="2:9" ht="14.5" thickTop="1">
      <c r="B53" s="58" t="s">
        <v>222</v>
      </c>
      <c r="C53" s="6"/>
      <c r="D53" s="438">
        <f>SUM(I11:I13)+SUM(I28:I30)</f>
        <v>16614</v>
      </c>
      <c r="E53" s="431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5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5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37"/>
      <c r="E57" s="437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3">
        <f>((Dashboard!I6*Data!C4)+D52+E50-C58-C59)</f>
        <v>-692854.62271999987</v>
      </c>
      <c r="E60" s="444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1">
        <f>((C26-C11-C12-C14-C15-C16*G16-C19*G19-C20*G20)-I26)/Data!C7</f>
        <v>-0.20579547550468244</v>
      </c>
      <c r="E63" s="442"/>
    </row>
    <row r="64" spans="2:9" ht="15" customHeight="1">
      <c r="B64" s="3" t="s">
        <v>250</v>
      </c>
      <c r="D64" s="439">
        <v>8.5599999999999996E-2</v>
      </c>
      <c r="E64" s="440"/>
      <c r="F64" s="250" t="s">
        <v>236</v>
      </c>
    </row>
    <row r="65" spans="2:5" ht="15" customHeight="1">
      <c r="B65" s="271" t="s">
        <v>252</v>
      </c>
      <c r="D65" s="439">
        <v>8.5599999999999996E-2</v>
      </c>
      <c r="E65" s="440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48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48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49" t="s">
        <v>220</v>
      </c>
      <c r="F20" s="449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6" t="s">
        <v>145</v>
      </c>
      <c r="D26" s="447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Analysis'!$E$64</f>
        <v>1.6461152182382521</v>
      </c>
      <c r="D27" s="117" t="str">
        <f>Dashboard!J4</f>
        <v>HKD</v>
      </c>
      <c r="E27" s="118">
        <f>(C27-G16)/C9</f>
        <v>-393.26724018753652</v>
      </c>
      <c r="F27" s="155">
        <f>C27/(Data!C28*Exchange_Rate*Data!C4/Common_Shares)</f>
        <v>0.71263311733763934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2.0735352113480436</v>
      </c>
      <c r="D30" s="334" t="str">
        <f>D27</f>
        <v>HKD</v>
      </c>
      <c r="E30" s="118">
        <f>(C30-G16)/C9</f>
        <v>1286.3906012343054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Analysis'!E8</f>
        <v>1.9196640138285188</v>
      </c>
      <c r="D31" s="334" t="str">
        <f>D30</f>
        <v>HKD</v>
      </c>
      <c r="E31" s="118">
        <f>(C31-G16)/C9</f>
        <v>681.71377832244275</v>
      </c>
      <c r="F31" s="155">
        <f>C31/(Asset_Model!I3*Exchange_Rate*Data!C4/Common_Shares)</f>
        <v>0.83321353936519782</v>
      </c>
      <c r="I31" s="73"/>
    </row>
    <row r="32" spans="2:9" ht="15.75" customHeight="1">
      <c r="B32" s="333" t="s">
        <v>315</v>
      </c>
      <c r="C32" s="350">
        <f>MIN(MIN(G24,C27)+ABS(G24-C27)*'Qualitative Analysis'!E8,Asset_Model!D7)</f>
        <v>1.516885717009649</v>
      </c>
      <c r="D32" s="334" t="str">
        <f>D30</f>
        <v>HKD</v>
      </c>
      <c r="E32" s="118">
        <f>(C32-G16)/C9</f>
        <v>-901.10811937144535</v>
      </c>
      <c r="F32" s="155">
        <f>C32/(Asset_Model!I3*Exchange_Rate*Data!C4/Common_Shares)</f>
        <v>0.65839110801554424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2023-06-21T11:04:07Z</dcterms:modified>
  <cp:category/>
  <cp:contentStatus/>
</cp:coreProperties>
</file>