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C4864DD3-35F1-40B5-B788-3630CB00C22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5" i="1" l="1"/>
  <c r="B16" i="1"/>
  <c r="C30" i="4"/>
  <c r="G14" i="7" l="1"/>
  <c r="C18" i="7"/>
  <c r="C14" i="7"/>
  <c r="E14" i="7" s="1"/>
  <c r="E13" i="7" s="1"/>
  <c r="E10" i="7"/>
  <c r="G8" i="7"/>
  <c r="E7" i="7"/>
  <c r="G7" i="7" s="1"/>
  <c r="E6" i="7"/>
  <c r="G6" i="7" s="1"/>
  <c r="H6" i="7" s="1"/>
  <c r="E5" i="7"/>
  <c r="G5" i="7" s="1"/>
  <c r="H5" i="7" s="1"/>
  <c r="E4" i="7"/>
  <c r="G4" i="7" s="1"/>
  <c r="H4" i="7" s="1"/>
  <c r="D7" i="7"/>
  <c r="D6" i="7"/>
  <c r="D5" i="7"/>
  <c r="D4" i="7"/>
  <c r="H7" i="7" l="1"/>
  <c r="C10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6" i="5" s="1"/>
  <c r="E6" i="5" s="1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36" i="5" s="1"/>
  <c r="E36" i="5" s="1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55" i="5" l="1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F44" i="2"/>
  <c r="E12" i="2"/>
  <c r="C13" i="2"/>
  <c r="C12" i="2" s="1"/>
  <c r="E30" i="5"/>
  <c r="C11" i="7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15" i="4"/>
  <c r="D15" i="4" s="1"/>
  <c r="D59" i="3"/>
  <c r="C44" i="3"/>
  <c r="C45" i="3" s="1"/>
  <c r="I6" i="3"/>
  <c r="E44" i="3"/>
  <c r="I44" i="3" s="1"/>
  <c r="J44" i="3" s="1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E46" i="3" l="1"/>
  <c r="D46" i="3" s="1"/>
  <c r="C16" i="4"/>
  <c r="D16" i="4" s="1"/>
  <c r="D62" i="5"/>
  <c r="E62" i="5" s="1"/>
  <c r="D60" i="3"/>
  <c r="D6" i="3"/>
  <c r="E33" i="1"/>
  <c r="C36" i="1"/>
  <c r="D3" i="4"/>
  <c r="G3" i="7"/>
  <c r="E3" i="4" s="1"/>
  <c r="G4" i="4" s="1"/>
  <c r="B21" i="4" s="1"/>
  <c r="G2" i="4" s="1"/>
  <c r="F4" i="7"/>
  <c r="F5" i="7"/>
  <c r="F6" i="7"/>
  <c r="F7" i="7"/>
  <c r="E9" i="7"/>
  <c r="E12" i="7"/>
  <c r="E17" i="7" s="1"/>
  <c r="G16" i="7" s="1"/>
  <c r="C20" i="7"/>
  <c r="C4" i="4" s="1"/>
  <c r="C7" i="4" s="1"/>
  <c r="C18" i="4"/>
  <c r="D18" i="4" s="1"/>
  <c r="G18" i="4" s="1"/>
  <c r="D50" i="3"/>
  <c r="E25" i="3"/>
  <c r="E45" i="3" s="1"/>
  <c r="D24" i="3"/>
  <c r="D44" i="3"/>
  <c r="D49" i="3"/>
  <c r="F17" i="2"/>
  <c r="F45" i="2"/>
  <c r="E45" i="2"/>
  <c r="E17" i="2"/>
  <c r="G15" i="4" l="1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E20" i="7" l="1"/>
  <c r="E19" i="7" s="1"/>
  <c r="G18" i="7"/>
  <c r="G20" i="7" s="1"/>
  <c r="D4" i="4"/>
  <c r="J26" i="3"/>
  <c r="D18" i="5" s="1"/>
  <c r="E64" i="5" s="1"/>
  <c r="D11" i="4" l="1"/>
  <c r="D7" i="4"/>
  <c r="D8" i="4" s="1"/>
  <c r="D9" i="4" s="1"/>
  <c r="F18" i="4"/>
  <c r="D7" i="3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7" i="4" l="1"/>
  <c r="E8" i="4" s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5" i="1" s="1"/>
  <c r="B17" i="1" l="1"/>
  <c r="D17" i="1" s="1"/>
  <c r="D18" i="1"/>
  <c r="D16" i="1"/>
  <c r="C32" i="4"/>
  <c r="I36" i="1" s="1"/>
  <c r="E14" i="1"/>
  <c r="E27" i="4"/>
  <c r="F27" i="4"/>
  <c r="F31" i="4"/>
  <c r="E31" i="4"/>
  <c r="E46" i="1" l="1"/>
  <c r="F46" i="1"/>
  <c r="F32" i="4"/>
  <c r="E32" i="4"/>
  <c r="H17" i="1"/>
  <c r="J17" i="1"/>
  <c r="F45" i="1" l="1"/>
  <c r="E45" i="1"/>
  <c r="E50" i="1" l="1"/>
  <c r="E48" i="1"/>
  <c r="E49" i="1"/>
  <c r="F50" i="1"/>
  <c r="F48" i="1"/>
  <c r="F49" i="1"/>
  <c r="E51" i="1" l="1"/>
  <c r="F51" i="1"/>
</calcChain>
</file>

<file path=xl/sharedStrings.xml><?xml version="1.0" encoding="utf-8"?>
<sst xmlns="http://schemas.openxmlformats.org/spreadsheetml/2006/main" count="420" uniqueCount="350">
  <si>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</si>
  <si>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</si>
  <si>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</si>
  <si>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</si>
  <si>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</si>
  <si>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</si>
  <si>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</si>
  <si>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</si>
  <si>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</si>
  <si>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</si>
  <si>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</si>
  <si>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</si>
  <si>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</si>
  <si>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</si>
  <si>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</si>
  <si>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</si>
  <si>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</si>
  <si>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</si>
  <si>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</si>
  <si>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</si>
  <si>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</si>
  <si>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</si>
  <si>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</si>
  <si>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</si>
  <si>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</si>
  <si>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</si>
  <si>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</si>
  <si>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</si>
  <si>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</si>
  <si>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</si>
  <si>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</si>
  <si>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</si>
  <si>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</si>
  <si>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</si>
  <si>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</si>
  <si>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</si>
  <si>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</si>
  <si>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</si>
  <si>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</si>
  <si>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</si>
  <si>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</si>
  <si>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</si>
  <si>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</si>
  <si>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</si>
  <si>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</si>
  <si>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</si>
  <si>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</si>
  <si>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</si>
  <si>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</si>
  <si>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</si>
  <si>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</si>
  <si>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</si>
  <si>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</si>
  <si>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</si>
  <si>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</si>
  <si>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</si>
  <si>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</si>
  <si>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</si>
  <si>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</si>
  <si>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</si>
  <si>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</si>
  <si>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</si>
  <si>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</si>
  <si>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</si>
  <si>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</si>
  <si>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</si>
  <si>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</si>
  <si>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</si>
  <si>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</si>
  <si>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</si>
  <si>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</si>
  <si>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</si>
  <si>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</si>
  <si>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</si>
  <si>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</si>
  <si>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</si>
  <si>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</si>
  <si>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</si>
  <si>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</si>
  <si>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</si>
  <si>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</si>
  <si>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</si>
  <si>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</si>
  <si>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</si>
  <si>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</si>
  <si>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</si>
  <si>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</si>
  <si>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</si>
  <si>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</si>
  <si>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</si>
  <si>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</si>
  <si>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</si>
  <si>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</si>
  <si>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</si>
  <si>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</si>
  <si>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</si>
  <si>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</si>
  <si>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</si>
  <si>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</si>
  <si>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</si>
  <si>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</si>
  <si>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</si>
  <si>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</si>
  <si>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</si>
  <si>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</si>
  <si>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</si>
  <si>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</si>
  <si>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</si>
  <si>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</si>
  <si>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</si>
  <si>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</si>
  <si>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</si>
  <si>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</si>
  <si>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</si>
  <si>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</si>
  <si>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</si>
  <si>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</si>
  <si>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</si>
  <si>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</si>
  <si>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</si>
  <si>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</si>
  <si>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</si>
  <si>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</si>
  <si>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</si>
  <si>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</si>
  <si>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</si>
  <si>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</si>
  <si>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</si>
  <si>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</si>
  <si>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</si>
  <si>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</si>
  <si>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</si>
  <si>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</si>
  <si>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</si>
  <si>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</si>
  <si>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</si>
  <si>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</si>
  <si>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</si>
  <si>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</si>
  <si>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</si>
  <si>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</si>
  <si>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</si>
  <si>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</si>
  <si>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</si>
  <si>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</si>
  <si>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</si>
  <si>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</si>
  <si>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</si>
  <si>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</si>
  <si>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</si>
  <si>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</si>
  <si>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</si>
  <si>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</si>
  <si>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</si>
  <si>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</si>
  <si>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</si>
  <si>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</si>
  <si>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</si>
  <si>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</si>
  <si>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</si>
  <si>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</si>
  <si>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</si>
  <si>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</si>
  <si>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</si>
  <si>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</si>
  <si>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</si>
  <si>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</si>
  <si>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</si>
  <si>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</si>
  <si>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</si>
  <si>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</si>
  <si>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</si>
  <si>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</si>
  <si>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</si>
  <si>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</si>
  <si>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</si>
  <si>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</si>
  <si>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</si>
  <si>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</si>
  <si>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</si>
  <si>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</si>
  <si>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</si>
  <si>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</si>
  <si>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</si>
  <si>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</si>
  <si>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</si>
  <si>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</si>
  <si>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</si>
  <si>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</si>
  <si>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</si>
  <si>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</si>
  <si>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</si>
  <si>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</si>
  <si>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</si>
  <si>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</si>
  <si>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</si>
  <si>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</si>
  <si>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</si>
  <si>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</si>
  <si>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</si>
  <si>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</si>
  <si>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</si>
  <si>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</si>
  <si>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</si>
  <si>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</si>
  <si>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</si>
  <si>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</si>
  <si>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</si>
  <si>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</si>
  <si>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</si>
  <si>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</si>
  <si>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</si>
  <si>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</si>
  <si>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</si>
  <si>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</si>
  <si>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</si>
  <si>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</si>
  <si>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</si>
  <si>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</si>
  <si>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</si>
  <si>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</si>
  <si>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</si>
  <si>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</si>
  <si>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</si>
  <si>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</si>
  <si>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</si>
  <si>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</si>
  <si>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</si>
  <si>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</si>
  <si>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</si>
  <si>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</si>
  <si>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</si>
  <si>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</si>
  <si>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</si>
  <si>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</si>
  <si>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</si>
  <si>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</si>
  <si>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</si>
  <si>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</si>
  <si>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</si>
  <si>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</si>
  <si>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</si>
  <si>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</si>
  <si>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</si>
  <si>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</si>
  <si>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</si>
  <si>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</si>
  <si>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</si>
  <si>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</si>
  <si>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</si>
  <si>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</si>
  <si>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</si>
  <si>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</si>
  <si>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</si>
  <si>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</si>
  <si>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</si>
  <si>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</si>
  <si>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</si>
  <si>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</si>
  <si>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</si>
  <si>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</si>
  <si>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</si>
  <si>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</si>
  <si>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</si>
  <si>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</si>
  <si>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</si>
  <si>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</si>
  <si>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</si>
  <si>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</si>
  <si>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</si>
  <si>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</si>
  <si>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</si>
  <si>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</si>
  <si>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</si>
  <si>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</si>
  <si>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</si>
  <si>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</si>
  <si>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</si>
  <si>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</si>
  <si>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</si>
  <si>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</si>
  <si>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</si>
  <si>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</si>
  <si>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</si>
  <si>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</si>
  <si>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</si>
  <si>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</si>
  <si>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</si>
  <si>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</si>
  <si>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</si>
  <si>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</si>
  <si>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</si>
  <si>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</si>
  <si>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</si>
  <si>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</si>
  <si>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</si>
  <si>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</si>
  <si>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</si>
  <si>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</si>
  <si>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</si>
  <si>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</si>
  <si>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</si>
  <si>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</si>
  <si>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</si>
  <si>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</si>
  <si>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</si>
  <si>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</si>
  <si>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</si>
  <si>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</si>
  <si>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</si>
  <si>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</si>
  <si>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</si>
  <si>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</si>
  <si>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</si>
  <si>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</si>
  <si>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</si>
  <si>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</si>
  <si>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</si>
  <si>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</si>
  <si>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</si>
  <si>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</si>
  <si>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</si>
  <si>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</si>
  <si>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</si>
  <si>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HK</t>
  </si>
  <si>
    <t>Frd. 6M DPS</t>
  </si>
  <si>
    <t>物業銷售</t>
  </si>
  <si>
    <t>物業管理及其他服務</t>
  </si>
  <si>
    <t>酒店經營</t>
  </si>
  <si>
    <t>經營租賃之租金收益</t>
  </si>
  <si>
    <t>Use the average of HK and mainland corporate tax rate</t>
  </si>
  <si>
    <t>6-10% growth rate on HK properties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</si>
  <si>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</si>
  <si>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</si>
  <si>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</si>
  <si>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</si>
  <si>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</si>
  <si>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</si>
  <si>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PB 0.523 at 20 percentile, and 0.610 at 50 percentile</t>
  </si>
  <si>
    <t>Ex-ante</t>
  </si>
  <si>
    <t>Ex-post</t>
  </si>
  <si>
    <t>Best Guess Market Exit Price</t>
  </si>
  <si>
    <t>A bottleneck in HK property market</t>
  </si>
  <si>
    <t>Asset heavy business</t>
  </si>
  <si>
    <t>Consumer Staples, 15.1y</t>
  </si>
  <si>
    <t>4. The probability of an ex-post recession affecting the company</t>
  </si>
  <si>
    <t>a) High growth company with unproven product or product you don't trust</t>
  </si>
  <si>
    <t>Kelly's Formula: [W – (1 – W)/R] / K, Where K =</t>
  </si>
  <si>
    <t>% Allocation</t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</si>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</sst>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2" fillId="0" borderId="9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topLeftCell="A25" zoomScaleNormal="100" workbookViewId="0">
      <selection activeCell="C28" sqref="C28:D2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316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317</v>
      </c>
      <c r="D4" s="375"/>
      <c r="E4" s="6"/>
      <c r="G4" s="5" t="s">
        <v>5</v>
      </c>
      <c r="I4" s="32">
        <v>9.52</v>
      </c>
      <c r="J4" s="33" t="s">
        <v>6</v>
      </c>
      <c r="K4" s="149"/>
    </row>
    <row r="5" spans="1:12" ht="15.75" customHeight="1">
      <c r="B5" s="5" t="s">
        <v>7</v>
      </c>
      <c r="C5" s="376">
        <v>44956</v>
      </c>
      <c r="D5" s="375"/>
      <c r="E5" s="120" t="str">
        <f ca="1">IF(C5+30&gt;=TODAY(),"Patience Premium","")</f>
        <v/>
      </c>
      <c r="G5" s="5" t="s">
        <v>8</v>
      </c>
      <c r="I5" s="386">
        <v>8171879936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44742</v>
      </c>
      <c r="G6" s="131" t="s">
        <v>9</v>
      </c>
      <c r="H6" s="130"/>
      <c r="I6" s="388">
        <f>I4*I5/1000000</f>
        <v>77796.296990720002</v>
      </c>
      <c r="J6" s="389"/>
      <c r="K6" s="148"/>
    </row>
    <row r="7" spans="1:12" ht="15.75" customHeight="1">
      <c r="B7" s="136" t="s">
        <v>10</v>
      </c>
      <c r="C7" s="142">
        <f>(Data!C39*Exchange_Rate)/I4</f>
        <v>3.9252343853387543E-2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13.564241595649191</v>
      </c>
      <c r="J9" s="48">
        <f>IF(I9="NNI","NNI",1/I9)</f>
        <v>7.3723251900847581E-2</v>
      </c>
    </row>
    <row r="10" spans="1:12" ht="15.75" customHeight="1">
      <c r="B10" s="3" t="s">
        <v>256</v>
      </c>
      <c r="C10" s="279" t="s">
        <v>324</v>
      </c>
      <c r="D10" s="279">
        <v>3.4660000000000003E-2</v>
      </c>
      <c r="E10" s="5"/>
      <c r="G10" s="5" t="s">
        <v>14</v>
      </c>
      <c r="I10" s="135">
        <f>I4/(Data!C28*I12*Data!C4/Common_Shares)</f>
        <v>0.49167052468842287</v>
      </c>
      <c r="J10" s="127">
        <f>IF(Asset_Model!D60/'FCFF Model'!C4&lt;0,"Negative EV",Asset_Model!D60/'FCFF Model'!C4)</f>
        <v>2.9808360993222913</v>
      </c>
    </row>
    <row r="11" spans="1:12" ht="15.75" customHeight="1" thickBot="1">
      <c r="B11" s="288" t="s">
        <v>257</v>
      </c>
      <c r="C11" s="403">
        <f ca="1">C12-D10</f>
        <v>2.5339999999999994E-2</v>
      </c>
      <c r="D11" s="404"/>
      <c r="E11" s="13"/>
      <c r="G11" s="5" t="s">
        <v>15</v>
      </c>
      <c r="H11" s="6"/>
      <c r="I11" s="401" t="s">
        <v>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0.06</v>
      </c>
      <c r="D12" s="40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332</v>
      </c>
      <c r="D14" s="239"/>
      <c r="E14" s="190">
        <f ca="1">'FCFF Model'!C27</f>
        <v>10.38118789234521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325</v>
      </c>
      <c r="J15" s="88" t="s">
        <v>20</v>
      </c>
    </row>
    <row r="16" spans="1:12" ht="15.75" customHeight="1">
      <c r="B16" s="128">
        <f>I4</f>
        <v>9.52</v>
      </c>
      <c r="C16" s="420">
        <v>0.1</v>
      </c>
      <c r="D16" s="156">
        <f ca="1">I35/B16-(1+C16)</f>
        <v>8.256012938980839E-2</v>
      </c>
      <c r="E16" s="393" t="s">
        <v>23</v>
      </c>
      <c r="F16" s="390">
        <f>('FCFF Model'!G16)*Exchange_Rate</f>
        <v>5.902449981989065</v>
      </c>
      <c r="G16" s="393" t="s">
        <v>24</v>
      </c>
      <c r="H16" s="355">
        <f>B16-$F$16</f>
        <v>3.6175500180109346</v>
      </c>
      <c r="I16" s="411">
        <v>0.42</v>
      </c>
      <c r="J16" s="158">
        <f>I16/B16</f>
        <v>4.4117647058823532E-2</v>
      </c>
    </row>
    <row r="17" spans="1:10" ht="15.75" customHeight="1">
      <c r="B17" s="269">
        <f ca="1">I35/(1+C16)</f>
        <v>10.234520392537251</v>
      </c>
      <c r="C17" s="421"/>
      <c r="D17" s="268">
        <f ca="1">I35/B17-(1+C16)</f>
        <v>0</v>
      </c>
      <c r="E17" s="394"/>
      <c r="F17" s="391"/>
      <c r="G17" s="394"/>
      <c r="H17" s="356">
        <f ca="1">B17-$F$16</f>
        <v>4.3320704105481855</v>
      </c>
      <c r="I17" s="412"/>
      <c r="J17" s="159">
        <f ca="1">I16/B17</f>
        <v>4.1037584946946142E-2</v>
      </c>
    </row>
    <row r="18" spans="1:10" ht="15.75" customHeight="1">
      <c r="B18" s="323">
        <f>C35</f>
        <v>9</v>
      </c>
      <c r="C18" s="422"/>
      <c r="D18" s="157">
        <f ca="1">I35/B18-(1+C16)</f>
        <v>0.15088582575455289</v>
      </c>
      <c r="E18" s="395"/>
      <c r="F18" s="392"/>
      <c r="G18" s="395"/>
      <c r="H18" s="357">
        <f>B18-$F$16</f>
        <v>3.097550018010935</v>
      </c>
      <c r="I18" s="413"/>
      <c r="J18" s="160">
        <f>I16/B18</f>
        <v>4.6666666666666662E-2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309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319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320</v>
      </c>
      <c r="D22" s="398"/>
      <c r="E22" s="398"/>
      <c r="F22" s="398"/>
      <c r="G22" s="397" t="s">
        <v>322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321</v>
      </c>
      <c r="D23" s="383"/>
      <c r="E23" s="383"/>
      <c r="F23" s="383"/>
      <c r="G23" s="382" t="s">
        <v>323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59" t="s">
        <v>349</v>
      </c>
      <c r="I25" s="30"/>
      <c r="J25" s="360">
        <v>0.25</v>
      </c>
    </row>
    <row r="26" spans="1:10" ht="15.75" customHeight="1">
      <c r="B26" s="23" t="s">
        <v>31</v>
      </c>
      <c r="C26" s="377">
        <v>44970</v>
      </c>
      <c r="D26" s="378"/>
      <c r="E26" s="417" t="str">
        <f>IF(C26="","","Action_Planning")</f>
        <v>Action_Planning</v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0.14975757575757576</v>
      </c>
      <c r="D27" s="409"/>
      <c r="E27" s="408">
        <f>E31/D25</f>
        <v>5.4545454545454543E-2</v>
      </c>
      <c r="F27" s="409"/>
      <c r="G27" s="415">
        <f>G31/D25</f>
        <v>0</v>
      </c>
      <c r="H27" s="416"/>
      <c r="I27" s="414">
        <f>C27+E27+G27</f>
        <v>0.20430303030303029</v>
      </c>
      <c r="J27" s="414"/>
    </row>
    <row r="28" spans="1:10" ht="15.75" customHeight="1">
      <c r="B28" s="23" t="s">
        <v>34</v>
      </c>
      <c r="C28" s="436">
        <v>10000</v>
      </c>
      <c r="D28" s="398"/>
      <c r="E28" s="436">
        <v>4000</v>
      </c>
      <c r="F28" s="398"/>
      <c r="G28" s="386"/>
      <c r="H28" s="387"/>
      <c r="I28" s="426">
        <f>C28+E28+G28</f>
        <v>14000</v>
      </c>
      <c r="J28" s="426"/>
    </row>
    <row r="29" spans="1:10" ht="15.75" customHeight="1">
      <c r="B29" s="23" t="s">
        <v>35</v>
      </c>
      <c r="C29" s="437">
        <v>9.8840000000000003</v>
      </c>
      <c r="D29" s="398"/>
      <c r="E29" s="437">
        <v>9</v>
      </c>
      <c r="F29" s="398"/>
      <c r="G29" s="406">
        <v>8.6</v>
      </c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80770.861287423992</v>
      </c>
      <c r="D30" s="432"/>
      <c r="E30" s="424">
        <f>E29*$I$5/1000000</f>
        <v>73546.919424000007</v>
      </c>
      <c r="F30" s="432"/>
      <c r="G30" s="368">
        <f>G29*$I$5/1000000</f>
        <v>70278.167449599991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98840</v>
      </c>
      <c r="D31" s="434"/>
      <c r="E31" s="425">
        <f>E28*E29</f>
        <v>36000</v>
      </c>
      <c r="F31" s="435"/>
      <c r="G31" s="370">
        <f>G28*G29</f>
        <v>0</v>
      </c>
      <c r="H31" s="371"/>
      <c r="I31" s="425">
        <f>C31+E31+G31</f>
        <v>134840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9.6314285714285717</v>
      </c>
      <c r="F32" s="409"/>
      <c r="G32" s="115"/>
      <c r="H32" s="115"/>
      <c r="I32" s="427">
        <f>IF(I31=0,"",I31/I28)</f>
        <v>9.6314285714285717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78706.877897874278</v>
      </c>
      <c r="F33" s="432"/>
      <c r="G33" s="116"/>
      <c r="H33" s="116"/>
      <c r="I33" s="424">
        <f>IF(I32="","",I32*$I$5/1000000)</f>
        <v>78706.877897874278</v>
      </c>
      <c r="J33" s="424"/>
    </row>
    <row r="34" spans="2:11" ht="15.75" customHeight="1"/>
    <row r="35" spans="2:11" ht="15.75" customHeight="1">
      <c r="B35" s="143" t="s">
        <v>288</v>
      </c>
      <c r="C35" s="364">
        <f>E29</f>
        <v>9</v>
      </c>
      <c r="D35" s="365"/>
      <c r="G35" s="361" t="s">
        <v>336</v>
      </c>
      <c r="H35" s="361"/>
      <c r="I35" s="362">
        <f ca="1">'FCFF Model'!C31</f>
        <v>11.257972431790977</v>
      </c>
      <c r="J35" s="363"/>
    </row>
    <row r="36" spans="2:11" ht="15.75" customHeight="1">
      <c r="B36" s="143" t="s">
        <v>337</v>
      </c>
      <c r="C36" s="364">
        <f>E32</f>
        <v>9.6314285714285717</v>
      </c>
      <c r="D36" s="365"/>
      <c r="G36" s="366" t="s">
        <v>334</v>
      </c>
      <c r="H36" s="367"/>
      <c r="I36" s="362">
        <f ca="1">'FCFF Model'!C32</f>
        <v>9.6047724061316497</v>
      </c>
      <c r="J36" s="363"/>
    </row>
    <row r="37" spans="2:11" ht="15.75" customHeight="1"/>
    <row r="38" spans="2:11" ht="15.75" customHeight="1">
      <c r="B38" s="21" t="s">
        <v>298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301</v>
      </c>
      <c r="F39" s="208">
        <f>'Qualitative Analysis'!E8</f>
        <v>0.58000000000000007</v>
      </c>
      <c r="G39" s="331"/>
      <c r="H39" s="114"/>
      <c r="I39" s="114"/>
      <c r="J39" s="114"/>
    </row>
    <row r="40" spans="2:11" ht="15.75" customHeight="1">
      <c r="B40" s="3" t="s">
        <v>300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307</v>
      </c>
      <c r="F41" s="329">
        <f>'Qualitative Analysis'!E64</f>
        <v>0.48680272108843536</v>
      </c>
      <c r="G41" s="331" t="s">
        <v>299</v>
      </c>
      <c r="H41" s="114"/>
      <c r="I41" s="114"/>
      <c r="J41" s="114"/>
    </row>
    <row r="42" spans="2:11" ht="15.75" customHeight="1">
      <c r="B42" s="3" t="s">
        <v>345</v>
      </c>
      <c r="F42" s="332">
        <f>AVERAGE(80%*0.5,0.6)</f>
        <v>0.5</v>
      </c>
      <c r="G42" s="73" t="s">
        <v>302</v>
      </c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339</v>
      </c>
      <c r="F44" s="258" t="s">
        <v>340</v>
      </c>
    </row>
    <row r="45" spans="2:11" ht="15.75" customHeight="1">
      <c r="B45" s="3" t="s">
        <v>303</v>
      </c>
      <c r="E45" s="329">
        <f ca="1">I35/C29-1</f>
        <v>0.13900975635279011</v>
      </c>
      <c r="F45" s="332">
        <f ca="1">I35/C36-1</f>
        <v>0.168878775178535</v>
      </c>
    </row>
    <row r="46" spans="2:11" ht="15.75" customHeight="1">
      <c r="B46" s="3" t="s">
        <v>304</v>
      </c>
      <c r="E46" s="329">
        <f ca="1">'FCFF Model'!C32/C29-1</f>
        <v>-2.8250464778262874E-2</v>
      </c>
      <c r="F46" s="332">
        <f ca="1">'FCFF Model'!C32/C36-1</f>
        <v>-2.7676232138601486E-3</v>
      </c>
    </row>
    <row r="47" spans="2:11" ht="15.75" customHeight="1"/>
    <row r="48" spans="2:11" ht="15.75" customHeight="1">
      <c r="B48" s="3" t="s">
        <v>306</v>
      </c>
      <c r="E48" s="353">
        <f ca="1">IF(E45&lt;=0,0,AVERAGE(F39:F41,1-F42,E45/J25))</f>
        <v>0.58456834929991919</v>
      </c>
      <c r="F48" s="329">
        <f ca="1">IF(F45&lt;=0,0,AVERAGE(F39:F41,1-F42,F45/J25))</f>
        <v>0.60846356436051507</v>
      </c>
      <c r="G48" s="73"/>
    </row>
    <row r="49" spans="2:9" ht="15.75" customHeight="1">
      <c r="B49" s="3" t="s">
        <v>305</v>
      </c>
      <c r="D49" s="326"/>
      <c r="E49" s="328">
        <f ca="1">IF(E46&gt;=0,100,E45/ABS(E46))</f>
        <v>4.9206183842946976</v>
      </c>
      <c r="F49" s="328">
        <f ca="1">IF(F46&gt;=0,100,F45/ABS(F46))</f>
        <v>61.019424296196355</v>
      </c>
      <c r="G49" s="73"/>
    </row>
    <row r="50" spans="2:9" ht="15.75" customHeight="1">
      <c r="B50" s="3" t="s">
        <v>347</v>
      </c>
      <c r="E50" s="358">
        <f ca="1">MAX(J25*2/E45,1)</f>
        <v>3.5968698393446563</v>
      </c>
      <c r="F50" s="358">
        <f ca="1">MAX(J25*2/F45,1)</f>
        <v>2.9607036140060274</v>
      </c>
      <c r="G50" s="330"/>
      <c r="H50" s="84"/>
      <c r="I50" s="84"/>
    </row>
    <row r="51" spans="2:9" ht="15.75" customHeight="1">
      <c r="B51" s="3" t="s">
        <v>348</v>
      </c>
      <c r="E51" s="327">
        <f ca="1">MIN(MAX(E48-ABS((1-E48)/E49),0)/E50,H51)</f>
        <v>0.13904913318371245</v>
      </c>
      <c r="F51" s="327">
        <f ca="1">MIN(MAX(F48-ABS((1-F48)/F49),0)/F50,H51)</f>
        <v>0.20334591232324317</v>
      </c>
      <c r="G51" s="330" t="s">
        <v>308</v>
      </c>
      <c r="H51" s="77">
        <v>0.4</v>
      </c>
    </row>
    <row r="52" spans="2:9" ht="15.75" customHeight="1"/>
    <row r="53" spans="2:9" ht="15.75" customHeight="1">
      <c r="B53" s="21" t="s">
        <v>312</v>
      </c>
    </row>
    <row r="54" spans="2:9" ht="15.75" customHeight="1">
      <c r="B54" s="3" t="s">
        <v>313</v>
      </c>
    </row>
    <row r="55" spans="2:9" ht="15.75" customHeight="1">
      <c r="B55" s="3" t="s">
        <v>314</v>
      </c>
    </row>
    <row r="56" spans="2:9" ht="15.75" customHeight="1"/>
    <row r="57" spans="2:9" ht="15.75" customHeight="1">
      <c r="B57" s="3" t="s">
        <v>315</v>
      </c>
    </row>
    <row r="58" spans="2:9" ht="15.75" customHeight="1">
      <c r="B58" s="3" t="s">
        <v>346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5:H35"/>
    <mergeCell ref="I35:J35"/>
    <mergeCell ref="C36:D36"/>
    <mergeCell ref="C35:D35"/>
    <mergeCell ref="I36:J36"/>
    <mergeCell ref="G36:H36"/>
  </mergeCells>
  <phoneticPr fontId="31" type="noConversion"/>
  <conditionalFormatting sqref="B16">
    <cfRule type="cellIs" dxfId="17" priority="10" operator="lessThan">
      <formula>$B$18</formula>
    </cfRule>
  </conditionalFormatting>
  <conditionalFormatting sqref="C35:D36">
    <cfRule type="containsBlanks" priority="3">
      <formula>LEN(TRIM(C35))=0</formula>
    </cfRule>
  </conditionalFormatting>
  <conditionalFormatting sqref="C26:E26 I26 C28:G29 I28:I29">
    <cfRule type="containsBlanks" priority="27">
      <formula>LEN(TRIM(C26))=0</formula>
    </cfRule>
  </conditionalFormatting>
  <conditionalFormatting sqref="D16 D18">
    <cfRule type="cellIs" dxfId="16" priority="23" operator="lessThan">
      <formula>0</formula>
    </cfRule>
  </conditionalFormatting>
  <conditionalFormatting sqref="E14">
    <cfRule type="cellIs" dxfId="15" priority="15" operator="greaterThan">
      <formula>$B$16</formula>
    </cfRule>
  </conditionalFormatting>
  <conditionalFormatting sqref="E49:F49">
    <cfRule type="cellIs" dxfId="14" priority="2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1">
      <formula>LEN(TRIM(E26))=0</formula>
    </cfRule>
  </conditionalFormatting>
  <conditionalFormatting sqref="F16">
    <cfRule type="cellIs" dxfId="12" priority="18" operator="greaterThan">
      <formula>$B$16</formula>
    </cfRule>
  </conditionalFormatting>
  <conditionalFormatting sqref="G16">
    <cfRule type="cellIs" dxfId="11" priority="33" operator="lessThan">
      <formula>0</formula>
    </cfRule>
  </conditionalFormatting>
  <conditionalFormatting sqref="I35:J36">
    <cfRule type="containsBlanks" priority="5">
      <formula>LEN(TRIM(I35))=0</formula>
    </cfRule>
  </conditionalFormatting>
  <conditionalFormatting sqref="K38">
    <cfRule type="containsBlanks" priority="12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7" xr:uid="{93A0A854-6906-47E5-9CB9-89F531648935}">
      <formula1>"Strongly Agree,Agree,So-so,Disagree,Strongly Disagree"</formula1>
    </dataValidation>
    <dataValidation type="list" allowBlank="1" showInputMessage="1" showErrorMessage="1" sqref="B51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B21" sqref="B2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44742</v>
      </c>
      <c r="D3" s="6"/>
      <c r="E3" s="176">
        <v>1</v>
      </c>
      <c r="F3" s="174">
        <f t="array" ref="F3">AVERAGE(C19:INDEX(C19:M19,1,E3))</f>
        <v>5735396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7384827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44742</v>
      </c>
      <c r="D6" s="263">
        <f>EOMONTH(EDATE(C6,-12),0)</f>
        <v>44377</v>
      </c>
      <c r="E6" s="263">
        <f t="shared" ref="E6:M6" si="0">EOMONTH(EDATE(D6,-12),0)</f>
        <v>44012</v>
      </c>
      <c r="F6" s="263">
        <f t="shared" si="0"/>
        <v>43646</v>
      </c>
      <c r="G6" s="263">
        <f t="shared" si="0"/>
        <v>43281</v>
      </c>
      <c r="H6" s="263">
        <f t="shared" si="0"/>
        <v>42916</v>
      </c>
      <c r="I6" s="263">
        <f t="shared" si="0"/>
        <v>42551</v>
      </c>
      <c r="J6" s="263">
        <f t="shared" si="0"/>
        <v>42185</v>
      </c>
      <c r="K6" s="263">
        <f t="shared" si="0"/>
        <v>41820</v>
      </c>
      <c r="L6" s="263">
        <f t="shared" si="0"/>
        <v>41455</v>
      </c>
      <c r="M6" s="263">
        <f t="shared" si="0"/>
        <v>41090</v>
      </c>
    </row>
    <row r="7" spans="1:14" ht="15.75" customHeight="1">
      <c r="A7" s="9"/>
      <c r="B7" s="43" t="s">
        <v>43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7384827</v>
      </c>
      <c r="D16" s="140">
        <f>IF(D14="","",D14*(1-Operation!$D$18))</f>
        <v>12711315</v>
      </c>
      <c r="E16" s="140">
        <f>IF(E14="","",E14*(1-Operation!$D$18))</f>
        <v>2605663</v>
      </c>
      <c r="F16" s="140">
        <f>IF(F14="","",F14*(1-Operation!$D$18))</f>
        <v>3558318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0.47478104591089182</v>
      </c>
      <c r="D17" s="126">
        <f t="shared" si="7"/>
        <v>0.51787070012664316</v>
      </c>
      <c r="E17" s="126">
        <f t="shared" si="7"/>
        <v>0.44262146655414542</v>
      </c>
      <c r="F17" s="126">
        <f t="shared" si="7"/>
        <v>0.44423933746088595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27282</v>
      </c>
      <c r="D18" s="141">
        <v>39885</v>
      </c>
      <c r="E18" s="141">
        <v>31747</v>
      </c>
      <c r="F18" s="141">
        <v>60128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255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31180</v>
      </c>
      <c r="D24" s="137">
        <v>49241</v>
      </c>
      <c r="E24" s="137">
        <v>32031</v>
      </c>
      <c r="F24" s="137">
        <v>0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13550</v>
      </c>
      <c r="D26" s="137">
        <v>19736</v>
      </c>
      <c r="E26" s="137">
        <v>7537</v>
      </c>
      <c r="F26" s="137">
        <v>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157397300</v>
      </c>
      <c r="D29" s="137">
        <v>155159697</v>
      </c>
      <c r="E29" s="137">
        <v>144915881</v>
      </c>
      <c r="F29" s="137">
        <v>145294012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-1348675.65</v>
      </c>
      <c r="D33" s="236">
        <f>IF(E7="","",(D7-E7)*Asset_Model!$D$65)</f>
        <v>2798768.55</v>
      </c>
      <c r="E33" s="236">
        <f>IF(F7="","",(E7-F7)*Asset_Model!$D$65)</f>
        <v>-318453.59999999998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-1439670.65</v>
      </c>
      <c r="D34" s="140">
        <f>IF(E7="","",D30-E30+D33+IF($C$49="Yes",D51,0))</f>
        <v>2807761.55</v>
      </c>
      <c r="E34" s="140">
        <f t="shared" ref="E34:F34" si="11">IF(F7="","",E30-F30+E33+IF($C$49="Yes",E51,0))</f>
        <v>829600.4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-0.19494981399022615</v>
      </c>
      <c r="D35" s="227">
        <f t="shared" si="19"/>
        <v>0.22088678866033923</v>
      </c>
      <c r="E35" s="227">
        <f t="shared" si="19"/>
        <v>0.31838361292308331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3053687</v>
      </c>
      <c r="D37" s="162">
        <v>508443</v>
      </c>
      <c r="E37" s="162">
        <v>1287845</v>
      </c>
      <c r="F37" s="162">
        <v>822878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0.37368231348424941</v>
      </c>
      <c r="D39" s="167">
        <f t="shared" si="20"/>
        <v>6.2218608690043288E-2</v>
      </c>
      <c r="E39" s="167">
        <f t="shared" si="20"/>
        <v>0.15759470404436446</v>
      </c>
      <c r="F39" s="167">
        <f t="shared" si="20"/>
        <v>0.1006962909935734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1.7786907751741209E-2</v>
      </c>
      <c r="D42" s="48">
        <f t="shared" ref="D42:M42" si="22">IF(D29="","",D25/D29)</f>
        <v>2.6627726657651309E-2</v>
      </c>
      <c r="E42" s="48">
        <f t="shared" si="22"/>
        <v>4.236338320987746E-2</v>
      </c>
      <c r="F42" s="48">
        <f t="shared" si="22"/>
        <v>4.6494393726287907E-2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3.2396387993949068E-2</v>
      </c>
      <c r="D43" s="14">
        <f t="shared" si="23"/>
        <v>4.5280695540414723E-2</v>
      </c>
      <c r="E43" s="14">
        <f t="shared" si="23"/>
        <v>4.8325649001850941E-2</v>
      </c>
      <c r="F43" s="14">
        <f t="shared" si="23"/>
        <v>4.6494393726287907E-2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1.4482597334747438</v>
      </c>
      <c r="D44" s="50">
        <f t="shared" si="24"/>
        <v>1.8092495323267772</v>
      </c>
      <c r="E44" s="50">
        <f t="shared" si="24"/>
        <v>0.37206992734987693</v>
      </c>
      <c r="F44" s="50">
        <f t="shared" si="24"/>
        <v>0.52674018560381042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3.6943316343091043E-3</v>
      </c>
      <c r="D45" s="14">
        <f t="shared" si="25"/>
        <v>3.1377556137976285E-3</v>
      </c>
      <c r="E45" s="14">
        <f t="shared" si="25"/>
        <v>1.2183847258835851E-2</v>
      </c>
      <c r="F45" s="14">
        <f t="shared" si="25"/>
        <v>1.6897871410031368E-2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4.7286852934645554</v>
      </c>
      <c r="D46" s="51">
        <f t="shared" si="26"/>
        <v>4.1639487695683695</v>
      </c>
      <c r="E46" s="51">
        <f t="shared" si="26"/>
        <v>2.4874071826139219</v>
      </c>
      <c r="F46" s="51">
        <f t="shared" si="26"/>
        <v>2.9364777556252051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277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278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36" sqref="D3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160090995.734</v>
      </c>
      <c r="E3" s="153" t="str">
        <f>IF((C46-I46)=D3,"", "Error!")</f>
        <v/>
      </c>
      <c r="F3" s="6"/>
      <c r="G3" s="6"/>
      <c r="H3" s="258" t="s">
        <v>244</v>
      </c>
      <c r="I3" s="259">
        <v>159323330.11500001</v>
      </c>
      <c r="K3" s="73"/>
    </row>
    <row r="4" spans="1:11" ht="15" customHeight="1">
      <c r="B4" s="5" t="s">
        <v>217</v>
      </c>
      <c r="C4" s="6"/>
      <c r="D4" s="260">
        <f>D3-I3</f>
        <v>767665.61899998784</v>
      </c>
      <c r="E4" s="147"/>
      <c r="F4" s="6"/>
      <c r="G4" s="6"/>
      <c r="H4" s="60" t="s">
        <v>80</v>
      </c>
      <c r="I4" s="89">
        <f>(I3*Dashboard!I12*Data!C4)/Dashboard!I5</f>
        <v>19.496533400243045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100759509.80375999</v>
      </c>
      <c r="E6" s="14">
        <f>1-D6/D3</f>
        <v>0.37061101193237955</v>
      </c>
      <c r="F6" s="6"/>
      <c r="G6" s="6"/>
      <c r="H6" s="3" t="s">
        <v>289</v>
      </c>
      <c r="I6" s="69">
        <f>C26/I26</f>
        <v>4.8817709652895234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12.330028168901379</v>
      </c>
      <c r="E7" s="49" t="str">
        <f>Dashboard!J4</f>
        <v>HKD</v>
      </c>
      <c r="H7" s="3" t="s">
        <v>290</v>
      </c>
      <c r="I7" s="69">
        <f>C25/I26</f>
        <v>3.7089690853896293</v>
      </c>
      <c r="J7" s="6"/>
      <c r="K7" s="114"/>
    </row>
    <row r="8" spans="1:11" ht="15" customHeight="1">
      <c r="D8" s="6"/>
      <c r="H8" s="3" t="s">
        <v>291</v>
      </c>
      <c r="I8" s="69">
        <f>C24/I26</f>
        <v>3.2145491810156961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318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3379024.0260000001</v>
      </c>
      <c r="D11" s="65">
        <v>1</v>
      </c>
      <c r="E11" s="27">
        <f t="shared" ref="E11:E21" si="0">C11*D11</f>
        <v>3379024.0260000001</v>
      </c>
      <c r="F11" s="6"/>
      <c r="G11" s="6"/>
      <c r="H11" s="5" t="s">
        <v>90</v>
      </c>
      <c r="I11" s="64">
        <v>2230528</v>
      </c>
      <c r="J11" s="6"/>
      <c r="K11" s="73"/>
    </row>
    <row r="12" spans="1:11" ht="14">
      <c r="B12" s="3" t="s">
        <v>91</v>
      </c>
      <c r="C12" s="64">
        <v>41083645.866999999</v>
      </c>
      <c r="D12" s="65">
        <v>0.98</v>
      </c>
      <c r="E12" s="27">
        <f t="shared" si="0"/>
        <v>40261972.949659996</v>
      </c>
      <c r="F12" s="6"/>
      <c r="G12" s="6"/>
      <c r="H12" s="5" t="s">
        <v>92</v>
      </c>
      <c r="I12" s="64">
        <v>40711.811999999998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1695386.811</v>
      </c>
      <c r="J13" s="6"/>
      <c r="K13" s="76"/>
    </row>
    <row r="14" spans="1:11" ht="14">
      <c r="B14" s="5" t="s">
        <v>95</v>
      </c>
      <c r="C14" s="64">
        <v>9150.4850000000006</v>
      </c>
      <c r="D14" s="65">
        <v>0.6</v>
      </c>
      <c r="E14" s="27">
        <f t="shared" si="0"/>
        <v>5490.2910000000002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0.8</v>
      </c>
      <c r="E15" s="27">
        <f t="shared" si="0"/>
        <v>0</v>
      </c>
      <c r="G15" s="6"/>
      <c r="H15" s="5" t="s">
        <v>98</v>
      </c>
      <c r="I15" s="152">
        <f>I26-SUM(I11:I14)</f>
        <v>9867916.8460000008</v>
      </c>
      <c r="J15" s="6"/>
    </row>
    <row r="16" spans="1:11" ht="14">
      <c r="B16" s="3" t="s">
        <v>96</v>
      </c>
      <c r="C16" s="64">
        <v>0</v>
      </c>
      <c r="D16" s="65">
        <v>0.5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6840073.6589999991</v>
      </c>
      <c r="D17" s="65">
        <v>0.6</v>
      </c>
      <c r="E17" s="27">
        <f t="shared" si="0"/>
        <v>4104044.1953999992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13046.883</v>
      </c>
      <c r="D18" s="65">
        <v>0.6</v>
      </c>
      <c r="E18" s="27">
        <f t="shared" si="0"/>
        <v>7828.1297999999997</v>
      </c>
      <c r="G18" s="6"/>
    </row>
    <row r="19" spans="2:10" ht="14">
      <c r="B19" s="3" t="s">
        <v>101</v>
      </c>
      <c r="C19" s="64">
        <v>8609555.8550000004</v>
      </c>
      <c r="D19" s="65">
        <v>0.65</v>
      </c>
      <c r="E19" s="27">
        <f t="shared" si="0"/>
        <v>5596211.3057500003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7527029.5259999996</v>
      </c>
      <c r="D20" s="65">
        <v>0.45</v>
      </c>
      <c r="E20" s="27">
        <f t="shared" si="0"/>
        <v>3387163.2867000001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75546.323999999993</v>
      </c>
      <c r="D21" s="65">
        <v>0.95</v>
      </c>
      <c r="E21" s="27">
        <f t="shared" si="0"/>
        <v>71769.007799999992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44471820.377999999</v>
      </c>
      <c r="D24" s="68">
        <f>IF(E24=0,0,E24/C24)</f>
        <v>0.98144143630000158</v>
      </c>
      <c r="E24" s="27">
        <f>SUM(E11:E14)</f>
        <v>43646487.266659997</v>
      </c>
      <c r="F24" s="6"/>
      <c r="G24" s="6"/>
      <c r="H24" s="66" t="s">
        <v>292</v>
      </c>
      <c r="I24" s="69">
        <f>E24/($I$26-I15)</f>
        <v>11.003427197705268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51311894.037</v>
      </c>
      <c r="D25" s="68">
        <f>IF(E25=0,0,E25/C25)</f>
        <v>0.93059381958553367</v>
      </c>
      <c r="E25" s="27">
        <f>E24+SUM(E15:E17)</f>
        <v>47750531.462059997</v>
      </c>
      <c r="F25" s="6"/>
      <c r="G25" s="6"/>
      <c r="H25" s="66" t="s">
        <v>296</v>
      </c>
      <c r="I25" s="69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67537072.625</v>
      </c>
      <c r="D26" s="14">
        <f t="shared" ref="D26" si="2">E26/C26</f>
        <v>0.84121951076510693</v>
      </c>
      <c r="E26" s="27">
        <f>SUM(E11:E22)</f>
        <v>56813503.192109995</v>
      </c>
      <c r="H26" s="5" t="s">
        <v>56</v>
      </c>
      <c r="I26" s="64">
        <v>13834543.469000001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997248.75199999998</v>
      </c>
      <c r="J28" s="6"/>
    </row>
    <row r="29" spans="2:10" ht="15" customHeight="1">
      <c r="B29" s="5" t="s">
        <v>110</v>
      </c>
      <c r="C29" s="64">
        <v>941238.06900000002</v>
      </c>
      <c r="D29" s="65">
        <v>0.6</v>
      </c>
      <c r="E29" s="27">
        <f t="shared" ref="E29:E40" si="3">C29*D29</f>
        <v>564742.84140000003</v>
      </c>
      <c r="F29" s="6"/>
      <c r="G29" s="6"/>
      <c r="H29" s="5" t="s">
        <v>111</v>
      </c>
      <c r="I29" s="64">
        <v>35896.328000000001</v>
      </c>
      <c r="J29" s="6"/>
    </row>
    <row r="30" spans="2:10" ht="15" customHeight="1">
      <c r="B30" s="5" t="s">
        <v>112</v>
      </c>
      <c r="C30" s="64">
        <v>0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1739746.648</v>
      </c>
      <c r="J30" s="6"/>
    </row>
    <row r="31" spans="2:10" ht="14">
      <c r="B31" s="3" t="s">
        <v>113</v>
      </c>
      <c r="C31" s="64">
        <v>0</v>
      </c>
      <c r="D31" s="65">
        <v>0.3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19909711.574000001</v>
      </c>
      <c r="D32" s="65">
        <v>0.4</v>
      </c>
      <c r="E32" s="27">
        <f t="shared" si="3"/>
        <v>7963884.6296000006</v>
      </c>
      <c r="G32" s="6"/>
      <c r="H32" s="5" t="s">
        <v>116</v>
      </c>
      <c r="I32" s="152">
        <f>I42-SUM(I28:I31)</f>
        <v>2692468.8590000002</v>
      </c>
      <c r="J32" s="6"/>
    </row>
    <row r="33" spans="2:10" ht="14">
      <c r="B33" s="5" t="s">
        <v>117</v>
      </c>
      <c r="C33" s="64">
        <v>23060132.886</v>
      </c>
      <c r="D33" s="65">
        <v>0.5</v>
      </c>
      <c r="E33" s="214">
        <f t="shared" si="3"/>
        <v>11530066.443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66597606.537</v>
      </c>
      <c r="D34" s="65">
        <v>0.65</v>
      </c>
      <c r="E34" s="214">
        <f t="shared" si="3"/>
        <v>43288444.249049999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0.45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282</v>
      </c>
      <c r="C36" s="64">
        <v>114740.003</v>
      </c>
      <c r="D36" s="65">
        <v>0.4</v>
      </c>
      <c r="E36" s="27">
        <f t="shared" si="3"/>
        <v>45896.001199999999</v>
      </c>
      <c r="F36" s="6"/>
      <c r="G36" s="6"/>
    </row>
    <row r="37" spans="2:10" ht="14">
      <c r="B37" s="5" t="s">
        <v>283</v>
      </c>
      <c r="C37" s="64">
        <v>1217891.264</v>
      </c>
      <c r="D37" s="65">
        <v>0.5</v>
      </c>
      <c r="E37" s="27">
        <f t="shared" si="3"/>
        <v>608945.63199999998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0.1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12206.832</v>
      </c>
      <c r="D39" s="65">
        <v>0.95</v>
      </c>
      <c r="E39" s="27">
        <f t="shared" si="3"/>
        <v>11596.490400000001</v>
      </c>
      <c r="F39" s="6"/>
      <c r="G39" s="6"/>
    </row>
    <row r="40" spans="2:10" ht="15" customHeight="1">
      <c r="B40" s="5" t="s">
        <v>121</v>
      </c>
      <c r="C40" s="64">
        <v>300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111853827.16500001</v>
      </c>
      <c r="D42" s="14">
        <f>E42/C42</f>
        <v>0.57229670105271435</v>
      </c>
      <c r="E42" s="27">
        <f>SUM(E28:E40)</f>
        <v>64013576.286649995</v>
      </c>
      <c r="F42" s="6"/>
      <c r="G42" s="6"/>
      <c r="H42" s="5" t="s">
        <v>123</v>
      </c>
      <c r="I42" s="64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45413058.446999997</v>
      </c>
      <c r="D44" s="68">
        <f>IF(E44=0,0,E44/C44)</f>
        <v>0.97353562213074429</v>
      </c>
      <c r="E44" s="27">
        <f>E24+SUM(E28:E29)</f>
        <v>44211230.108059995</v>
      </c>
      <c r="F44" s="6"/>
      <c r="G44" s="6"/>
      <c r="H44" s="66" t="s">
        <v>293</v>
      </c>
      <c r="I44" s="69">
        <f>E44/(I46-I15-I32)</f>
        <v>6.5599984754845266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95222976.566</v>
      </c>
      <c r="D45" s="68">
        <f>IF(E45=0,0,E45/C45)</f>
        <v>0.71210991108916599</v>
      </c>
      <c r="E45" s="27">
        <f>E44+(E25-E24)+SUM(E30:E33)</f>
        <v>67809225.376059994</v>
      </c>
      <c r="F45" s="6"/>
      <c r="G45" s="6"/>
      <c r="H45" s="66" t="s">
        <v>297</v>
      </c>
      <c r="I45" s="69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179390899.79000002</v>
      </c>
      <c r="D46" s="14">
        <f>E46/C46</f>
        <v>0.67354074047347734</v>
      </c>
      <c r="E46" s="27">
        <f>E26+E42</f>
        <v>120827079.47875999</v>
      </c>
      <c r="F46" s="6"/>
      <c r="G46" s="6"/>
      <c r="H46" s="5" t="s">
        <v>294</v>
      </c>
      <c r="I46" s="152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767665.61899998784</v>
      </c>
      <c r="D50" s="208">
        <f>IF(E50=0, 0,E50/C50)</f>
        <v>1</v>
      </c>
      <c r="E50" s="212">
        <f>MAX(C50,C50*Dashboard!I10)</f>
        <v>767665.61899998784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6739518.3509999998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6739518.3509999998</v>
      </c>
      <c r="E53" s="434"/>
      <c r="F53" s="5"/>
      <c r="G53" s="5"/>
      <c r="H53" s="3" t="s">
        <v>295</v>
      </c>
      <c r="I53" s="14">
        <f>D53/I3</f>
        <v>4.2300888050327577E-2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24010521.440000001</v>
      </c>
      <c r="D58" s="126">
        <f>IF(E58=0,0,E58/C58)</f>
        <v>0.50395821705236565</v>
      </c>
      <c r="E58" s="215">
        <f>E14+E15+(E19*G19)+(E20*G20)+E29+E30+(E31*G31)+(E33*G33)+(E34*G34)+(E35*G35)</f>
        <v>12100299.5754</v>
      </c>
      <c r="H58" s="6"/>
    </row>
    <row r="59" spans="2:9" ht="14">
      <c r="B59" s="53" t="s">
        <v>89</v>
      </c>
      <c r="C59" s="207">
        <f>C11+C12+C28</f>
        <v>44462669.892999999</v>
      </c>
      <c r="D59" s="208">
        <f>IF(E59=0,0,E59/C59)</f>
        <v>0.98151993752697786</v>
      </c>
      <c r="E59" s="209">
        <f>E11+E12+E28</f>
        <v>43640996.975659996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16830289.627719991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0.5934554144758829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0.15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G9" sqref="G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44742</v>
      </c>
      <c r="D3" s="28" t="s">
        <v>235</v>
      </c>
      <c r="E3" s="261">
        <f>EOMONTH(EDATE(C3,12),0)</f>
        <v>45107</v>
      </c>
      <c r="F3" s="28" t="s">
        <v>235</v>
      </c>
      <c r="G3" s="261">
        <f>IF(G9="","",EOMONTH(EDATE(E3,12),0))</f>
        <v>45473</v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326</v>
      </c>
      <c r="C4" s="273">
        <v>11129690.461999999</v>
      </c>
      <c r="D4" s="244">
        <f>C4/C8</f>
        <v>0.71954007930541752</v>
      </c>
      <c r="E4" s="273">
        <f>3947351.849/0.7</f>
        <v>5639074.0700000003</v>
      </c>
      <c r="F4" s="244">
        <f>E4/E8</f>
        <v>0.53990943728418095</v>
      </c>
      <c r="G4" s="216">
        <f>E4*1.52</f>
        <v>8571392.5864000004</v>
      </c>
      <c r="H4" s="244">
        <f>G4/G8</f>
        <v>0.63096006033519247</v>
      </c>
      <c r="I4" s="216"/>
      <c r="J4" s="266"/>
      <c r="K4" s="6"/>
      <c r="L4" s="73"/>
      <c r="M4" s="57"/>
    </row>
    <row r="5" spans="1:13" ht="15.75" customHeight="1">
      <c r="B5" s="272" t="s">
        <v>327</v>
      </c>
      <c r="C5" s="273">
        <v>1147617.763</v>
      </c>
      <c r="D5" s="244">
        <f>C5/C8</f>
        <v>7.4194064877248861E-2</v>
      </c>
      <c r="E5" s="273">
        <f>591321.795*2</f>
        <v>1182643.5900000001</v>
      </c>
      <c r="F5" s="244">
        <f>E5/E8</f>
        <v>0.11323143254698259</v>
      </c>
      <c r="G5" s="216">
        <f>E5*1.03</f>
        <v>1218122.8977000001</v>
      </c>
      <c r="H5" s="244">
        <f>G5/G8</f>
        <v>8.9668847772527399E-2</v>
      </c>
      <c r="I5" s="216"/>
      <c r="J5" s="266"/>
      <c r="K5" s="6"/>
      <c r="L5" s="73"/>
      <c r="M5" s="57"/>
    </row>
    <row r="6" spans="1:13" ht="15.75" customHeight="1">
      <c r="B6" s="272" t="s">
        <v>328</v>
      </c>
      <c r="C6" s="273">
        <v>451993.272</v>
      </c>
      <c r="D6" s="244">
        <f>C6/C8</f>
        <v>2.9221592091066291E-2</v>
      </c>
      <c r="E6" s="273">
        <f>455151.15*2</f>
        <v>910302.3</v>
      </c>
      <c r="F6" s="244">
        <f>E6/E8</f>
        <v>8.7156294890004107E-2</v>
      </c>
      <c r="G6" s="216">
        <f>E6*1.1</f>
        <v>1001332.5300000001</v>
      </c>
      <c r="H6" s="244">
        <f>G6/G8</f>
        <v>7.3710406701806244E-2</v>
      </c>
      <c r="I6" s="216"/>
      <c r="J6" s="266"/>
      <c r="K6" s="6"/>
      <c r="L6" s="73"/>
      <c r="M6" s="57"/>
    </row>
    <row r="7" spans="1:13" ht="15.75" customHeight="1">
      <c r="B7" s="272" t="s">
        <v>329</v>
      </c>
      <c r="C7" s="273">
        <v>2738482.4139999999</v>
      </c>
      <c r="D7" s="244">
        <f>C7/C8</f>
        <v>0.17704426372626741</v>
      </c>
      <c r="E7" s="273">
        <f>1356230.715*2</f>
        <v>2712461.43</v>
      </c>
      <c r="F7" s="244">
        <f>E7/E8</f>
        <v>0.25970283527883237</v>
      </c>
      <c r="G7" s="216">
        <f>E7*1.03</f>
        <v>2793835.2729000002</v>
      </c>
      <c r="H7" s="244">
        <f>G7/G8</f>
        <v>0.20566068519047398</v>
      </c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15467783.910999998</v>
      </c>
      <c r="D8" s="243"/>
      <c r="E8" s="313">
        <f>SUM(E4:E7)</f>
        <v>10444481.390000001</v>
      </c>
      <c r="F8" s="243"/>
      <c r="G8" s="313">
        <f>SUM(G4:G7)</f>
        <v>13584683.287</v>
      </c>
      <c r="H8" s="243"/>
      <c r="I8" s="222"/>
      <c r="J8" s="267"/>
      <c r="K8" s="6"/>
      <c r="L8" s="73" t="s">
        <v>253</v>
      </c>
      <c r="M8" s="57"/>
    </row>
    <row r="9" spans="1:13" ht="15.75" customHeight="1">
      <c r="B9" s="17" t="s">
        <v>135</v>
      </c>
      <c r="C9" s="184"/>
      <c r="D9" s="245"/>
      <c r="E9" s="18">
        <f>E8/C8-1</f>
        <v>-0.32475903141028817</v>
      </c>
      <c r="F9" s="245"/>
      <c r="G9" s="72">
        <v>0.30065656491154891</v>
      </c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7301864</v>
      </c>
      <c r="D10" s="246"/>
      <c r="E10" s="221">
        <f>E8*(1-E11)</f>
        <v>6266688.8339999998</v>
      </c>
      <c r="F10" s="246"/>
      <c r="G10" s="264">
        <f>IF(G8="","",G8*(1-G11))</f>
        <v>6792341.6435000002</v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0.52793082434987726</v>
      </c>
      <c r="D11" s="183"/>
      <c r="E11" s="72">
        <v>0.4</v>
      </c>
      <c r="F11" s="183"/>
      <c r="G11" s="72">
        <v>0.5</v>
      </c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6.7328499738051453E-2</v>
      </c>
      <c r="D13" s="186"/>
      <c r="E13" s="220">
        <f>E14/E8</f>
        <v>0.10369874309288227</v>
      </c>
      <c r="F13" s="186"/>
      <c r="G13" s="65">
        <v>0.09</v>
      </c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867483.279+173939.406</f>
        <v>1041422.6849999999</v>
      </c>
      <c r="D14" s="247"/>
      <c r="E14" s="75">
        <f>C14*1.04</f>
        <v>1083079.5924</v>
      </c>
      <c r="F14" s="247"/>
      <c r="G14" s="75">
        <f>G8*G13</f>
        <v>1222621.4958299999</v>
      </c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>
        <f>IF(ABS(C17+E17)=ABS(C17)+ABS(E17),IF(E17&lt;0,-1,1)*(E17-C17)/C17,"Turn")</f>
        <v>-0.56562366923153307</v>
      </c>
      <c r="F16" s="248"/>
      <c r="G16" s="14">
        <f>IF(G9="","",IF(ABS(E17+G17)=ABS(E17)+ABS(G17),IF(G17&lt;0,-1,1)*(G17-E17)/E17,"Turn"))</f>
        <v>0.7997533901143733</v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7124497.2259999989</v>
      </c>
      <c r="D17" s="296"/>
      <c r="E17" s="295">
        <f>E12-E14</f>
        <v>3094712.9636000008</v>
      </c>
      <c r="F17" s="296"/>
      <c r="G17" s="295">
        <f>IF(G9="","",G12-G14)</f>
        <v>5569720.1476700008</v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f>(16.5%+25%)/2</f>
        <v>0.20750000000000002</v>
      </c>
      <c r="D18" s="293"/>
      <c r="E18" s="294">
        <f>IF(E17="","",C18)</f>
        <v>0.20750000000000002</v>
      </c>
      <c r="F18" s="294"/>
      <c r="G18" s="294">
        <f>IF(G17="","",E18)</f>
        <v>0.20750000000000002</v>
      </c>
      <c r="H18" s="294"/>
      <c r="I18" s="294" t="str">
        <f>IF(I17="","",G18)</f>
        <v/>
      </c>
      <c r="J18" s="310"/>
      <c r="L18" s="73" t="s">
        <v>330</v>
      </c>
    </row>
    <row r="19" spans="2:13" ht="15.75" customHeight="1">
      <c r="B19" s="300" t="s">
        <v>285</v>
      </c>
      <c r="C19" s="248">
        <f>C20/C10</f>
        <v>0.77324968687515949</v>
      </c>
      <c r="D19" s="302"/>
      <c r="E19" s="301">
        <f>E20/E10</f>
        <v>0.39136457683148479</v>
      </c>
      <c r="F19" s="301"/>
      <c r="G19" s="301">
        <f>IF(G10="","",G20/G10)</f>
        <v>0.64985000000000004</v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5646164.0516049992</v>
      </c>
      <c r="D20" s="298"/>
      <c r="E20" s="299">
        <f>IF(E17="","",IF(E17&lt;=0,E17,E17*(1-E18)))</f>
        <v>2452560.0236530006</v>
      </c>
      <c r="F20" s="298"/>
      <c r="G20" s="299">
        <f>IF(G17="","",IF(G17&lt;=0,G17,G17*(1-G18)))</f>
        <v>4414003.2170284754</v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27" sqref="C2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44742</v>
      </c>
      <c r="D3" s="261">
        <f>Operation!E3</f>
        <v>45107</v>
      </c>
      <c r="E3" s="261">
        <f>Operation!G3</f>
        <v>45473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5646164.0516049992</v>
      </c>
      <c r="D4" s="45">
        <f>Operation!E20</f>
        <v>2452560.0236530006</v>
      </c>
      <c r="E4" s="45">
        <f>Operation!G20</f>
        <v>4414003.2170284754</v>
      </c>
      <c r="F4" s="198" t="str">
        <f>Operation!I20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258</v>
      </c>
      <c r="C5" s="241"/>
      <c r="D5" s="242">
        <f>D4/C4-1</f>
        <v>-0.56562366923153307</v>
      </c>
      <c r="E5" s="242">
        <f>IF(E4="","",E4/D4-1)</f>
        <v>0.79975339011437319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0.27</v>
      </c>
      <c r="D6" s="220">
        <v>0.27</v>
      </c>
      <c r="E6" s="65">
        <v>0.27</v>
      </c>
      <c r="F6" s="285"/>
      <c r="G6" s="196"/>
      <c r="H6" s="6"/>
      <c r="I6" s="76"/>
    </row>
    <row r="7" spans="1:10" ht="15" customHeight="1" thickBot="1">
      <c r="B7" s="80" t="s">
        <v>254</v>
      </c>
      <c r="C7" s="286">
        <f>C4*C6</f>
        <v>1524464.2939333499</v>
      </c>
      <c r="D7" s="286">
        <f>D4*D6</f>
        <v>662191.20638631016</v>
      </c>
      <c r="E7" s="287">
        <f>E4*E6</f>
        <v>1191780.8685976884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4121699.7576716496</v>
      </c>
      <c r="D8" s="188">
        <f>D4-D7</f>
        <v>1790368.8172666905</v>
      </c>
      <c r="E8" s="188">
        <f>IF(E4="","",E4-E7)</f>
        <v>3222222.3484307872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0.50437595632237753</v>
      </c>
      <c r="D9" s="283">
        <f>D8/(Common_Shares/Data!$C$4)</f>
        <v>0.21908897723515092</v>
      </c>
      <c r="E9" s="283">
        <f>IF(E8="","",E8/(Common_Shares/Data!$C$4))</f>
        <v>0.39430612951565364</v>
      </c>
      <c r="F9" s="283" t="str">
        <f>IF(F8="","",F8/(Common_Shares/Data!$C$4))</f>
        <v/>
      </c>
      <c r="G9" s="337">
        <f>IF(F4="",IF(E4="",D8,E8),F8)*Data!C$4/Dashboard!I5</f>
        <v>0.39430612951565358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281</v>
      </c>
      <c r="C12" s="336"/>
      <c r="D12" s="192">
        <f ca="1">IF(D9="","",D9/D11)</f>
        <v>0.20668771437278388</v>
      </c>
      <c r="E12" s="193">
        <f ca="1">IF(E9="","",E9/E11)</f>
        <v>0.35093105154472554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43640996.975659996</v>
      </c>
      <c r="D15" s="213">
        <f>C15/(Dashboard!I5/Data!C4)</f>
        <v>5.3403864615541012</v>
      </c>
      <c r="E15" s="84" t="s">
        <v>224</v>
      </c>
      <c r="G15" s="134">
        <f>C15+C16+C17+C18</f>
        <v>48234112.581060007</v>
      </c>
    </row>
    <row r="16" spans="1:10" ht="15.75" customHeight="1">
      <c r="B16" s="58" t="s">
        <v>230</v>
      </c>
      <c r="C16" s="83">
        <f>Asset_Model!E58</f>
        <v>12100299.5754</v>
      </c>
      <c r="D16" s="213">
        <f>C16/(Dashboard!I5/Data!C4)</f>
        <v>1.4807241014511157</v>
      </c>
      <c r="E16" s="84" t="s">
        <v>310</v>
      </c>
      <c r="G16" s="194">
        <f>(G15+MIN(D4,0))*Data!C$4/Dashboard!I5</f>
        <v>5.902449981989065</v>
      </c>
    </row>
    <row r="17" spans="2:9" ht="15.75" customHeight="1">
      <c r="B17" s="58" t="s">
        <v>214</v>
      </c>
      <c r="C17" s="83">
        <f>-Asset_Model!D52</f>
        <v>-6739518.3509999998</v>
      </c>
      <c r="D17" s="213">
        <f>C17/(Dashboard!I5/Data!C4)</f>
        <v>-0.82472067673315363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-767665.61899998784</v>
      </c>
      <c r="D18" s="213">
        <f>C18/(Dashboard!I5/Data!C4)</f>
        <v>-9.3939904282997519E-2</v>
      </c>
      <c r="E18" s="451"/>
      <c r="F18" s="145">
        <f>D15+(MIN(D4,0)*Data!C$4/Dashboard!I5)</f>
        <v>5.3403864615541012</v>
      </c>
      <c r="G18" s="144">
        <f>SUM(D16:D18)</f>
        <v>0.56206352043496455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279</v>
      </c>
      <c r="C22" s="14">
        <f>1/D22</f>
        <v>0.16666666666666666</v>
      </c>
      <c r="D22" s="277">
        <v>6</v>
      </c>
      <c r="E22" s="202">
        <f ca="1">IF(G9&lt;0,G9,G9*D22/G11)</f>
        <v>1.9864021785550496</v>
      </c>
      <c r="F22" s="342">
        <f ca="1">E22+$G$16</f>
        <v>7.8888521605441149</v>
      </c>
      <c r="G22" s="345">
        <f ca="1">ROUND(F22*Exchange_Rate,2)</f>
        <v>7.89</v>
      </c>
      <c r="I22" s="73"/>
    </row>
    <row r="23" spans="2:9" ht="15.75" customHeight="1" thickBot="1">
      <c r="B23" s="339" t="s">
        <v>280</v>
      </c>
      <c r="C23" s="340">
        <f>1/D23</f>
        <v>0.1</v>
      </c>
      <c r="D23" s="290">
        <v>10</v>
      </c>
      <c r="E23" s="341">
        <f ca="1">IF(G9&lt;0,G9,G9*D23/G11)</f>
        <v>3.3106702975917495</v>
      </c>
      <c r="F23" s="343">
        <f ca="1">E23+$G$16</f>
        <v>9.2131202795808136</v>
      </c>
      <c r="G23" s="348">
        <f ca="1">ROUND(F23*Exchange_Rate,2)</f>
        <v>9.2100000000000009</v>
      </c>
      <c r="I23" s="73" t="s">
        <v>331</v>
      </c>
    </row>
    <row r="24" spans="2:9" ht="15.75" customHeight="1" thickTop="1">
      <c r="C24" s="6"/>
      <c r="D24" s="6"/>
      <c r="E24" s="6"/>
      <c r="F24" s="346" t="s">
        <v>333</v>
      </c>
      <c r="G24" s="347">
        <f ca="1">MIN(G22,G23)+ABS(G22-G23)*'Qualitative Analysis'!$E$64</f>
        <v>8.5325795918367344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335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332</v>
      </c>
      <c r="C27" s="238">
        <f ca="1">MIN(G24,Asset_Model!D7)+ABS(G24-Asset_Model!D7)*'Qualitative Analysis'!$E$64</f>
        <v>10.38118789234521</v>
      </c>
      <c r="D27" s="117" t="str">
        <f>Dashboard!J4</f>
        <v>HKD</v>
      </c>
      <c r="E27" s="118">
        <f ca="1">(C27-G16)/C9</f>
        <v>8.879760928757495</v>
      </c>
      <c r="F27" s="155">
        <f ca="1">C27/(Data!C28*Exchange_Rate*Data!C4/Common_Shares)</f>
        <v>0.5361474892771505</v>
      </c>
      <c r="G27" s="86"/>
      <c r="H27" s="6"/>
      <c r="I27" s="73"/>
    </row>
    <row r="28" spans="2:9" ht="15.75" customHeight="1"/>
    <row r="29" spans="2:9" ht="15.75" customHeight="1">
      <c r="B29" s="351" t="s">
        <v>311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341</v>
      </c>
      <c r="C30" s="335">
        <f>Asset_Model!I3*Exchange_Rate*Data!C4/Common_Shares*0.61</f>
        <v>11.892885374148257</v>
      </c>
      <c r="D30" s="334" t="str">
        <f>D27</f>
        <v>HKD</v>
      </c>
      <c r="E30" s="118">
        <f>(C30-G16)/C9</f>
        <v>11.876924974453656</v>
      </c>
      <c r="F30" s="155">
        <f>C30/(Asset_Model!I3*Exchange_Rate*Data!C4/Common_Shares)</f>
        <v>0.61</v>
      </c>
      <c r="I30" s="73" t="s">
        <v>338</v>
      </c>
    </row>
    <row r="31" spans="2:9" ht="15.75" customHeight="1">
      <c r="B31" s="352" t="s">
        <v>311</v>
      </c>
      <c r="C31" s="350">
        <f ca="1">MIN(C30,C27)+ABS(C30-C27)*'Qualitative Analysis'!E8</f>
        <v>11.257972431790977</v>
      </c>
      <c r="D31" s="334" t="str">
        <f>D30</f>
        <v>HKD</v>
      </c>
      <c r="E31" s="118">
        <f ca="1">(C31-G16)/C9</f>
        <v>10.618116075261268</v>
      </c>
      <c r="F31" s="155">
        <f ca="1">C31/(Asset_Model!I3*Exchange_Rate*Data!C4/Common_Shares)</f>
        <v>0.57743457263282683</v>
      </c>
      <c r="I31" s="73"/>
    </row>
    <row r="32" spans="2:9" ht="15.75" customHeight="1">
      <c r="B32" s="333" t="s">
        <v>334</v>
      </c>
      <c r="C32" s="350">
        <f ca="1">MIN(MIN(G24,C27)+ABS(G24-C27)*'Qualitative Analysis'!E8,Asset_Model!D7)</f>
        <v>9.6047724061316497</v>
      </c>
      <c r="D32" s="334" t="str">
        <f>D30</f>
        <v>HKD</v>
      </c>
      <c r="E32" s="118">
        <f ca="1">(C32-G16)/C9</f>
        <v>7.3404022886773053</v>
      </c>
      <c r="F32" s="155">
        <f ca="1">C32/(Asset_Model!I3*Exchange_Rate*Data!C4/Common_Shares)</f>
        <v>0.49264000983948847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262</v>
      </c>
      <c r="C3" s="94"/>
      <c r="D3" s="92">
        <f>IF(E3="Strongly disagree",0,IF(E3="disagree",1,IF(E3="unclear",2,IF(E3="agree",3,4))))</f>
        <v>2</v>
      </c>
      <c r="E3" s="31" t="s">
        <v>147</v>
      </c>
      <c r="G3" s="78" t="s">
        <v>287</v>
      </c>
    </row>
    <row r="4" spans="1:7" ht="14">
      <c r="B4" s="6" t="s">
        <v>264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259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260</v>
      </c>
      <c r="C6" s="94"/>
      <c r="D6" s="92">
        <f>AVERAGE(D24:D28)</f>
        <v>3.2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261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2.3200000000000003</v>
      </c>
      <c r="E8" s="96">
        <f>D8/4</f>
        <v>0.58000000000000007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263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0</v>
      </c>
      <c r="E14" s="31" t="s">
        <v>170</v>
      </c>
      <c r="F14" s="6"/>
      <c r="G14" s="274" t="s">
        <v>342</v>
      </c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 t="s">
        <v>343</v>
      </c>
    </row>
    <row r="16" spans="1:7" ht="15" customHeight="1">
      <c r="B16" s="53" t="s">
        <v>156</v>
      </c>
      <c r="D16" s="98">
        <f>IF(E16="Strongly disagree",0,IF(E16="disagree",1,IF(E16="unclear",2,IF(E16="agree",3,4))))</f>
        <v>4</v>
      </c>
      <c r="E16" s="31" t="s">
        <v>157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284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0</v>
      </c>
      <c r="E22" s="31" t="s">
        <v>170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265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266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267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268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269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286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1</v>
      </c>
      <c r="E37" s="31" t="s">
        <v>155</v>
      </c>
      <c r="F37" s="6"/>
      <c r="G37" s="274"/>
    </row>
    <row r="38" spans="2:7" ht="15" customHeight="1">
      <c r="B38" s="53" t="s">
        <v>270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271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272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273</v>
      </c>
      <c r="D41" s="98">
        <f t="shared" si="4"/>
        <v>1</v>
      </c>
      <c r="E41" s="31" t="s">
        <v>155</v>
      </c>
      <c r="G41" s="274"/>
    </row>
    <row r="42" spans="2:7" ht="15" customHeight="1">
      <c r="B42" s="1" t="s">
        <v>173</v>
      </c>
      <c r="D42" s="101">
        <f>SUM(D43:D48)/(6*4)</f>
        <v>0.58333333333333337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2</v>
      </c>
      <c r="E43" s="31" t="s">
        <v>147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0.29727891156462583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274</v>
      </c>
      <c r="D52" s="98">
        <f t="shared" si="6"/>
        <v>0</v>
      </c>
      <c r="E52" s="31" t="s">
        <v>170</v>
      </c>
      <c r="G52" s="274"/>
    </row>
    <row r="53" spans="2:8" ht="15" customHeight="1">
      <c r="B53" s="53" t="s">
        <v>275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276</v>
      </c>
      <c r="D54" s="102">
        <f t="array" ref="D54">(1-INDEX(B68:E77,MATCH(E54,B68:B77,0),4))*4</f>
        <v>1.9455782312925169</v>
      </c>
      <c r="E54" s="31" t="s">
        <v>344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1</v>
      </c>
      <c r="E61" s="31" t="s">
        <v>155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0.4972108843537415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1.9472108843537415</v>
      </c>
      <c r="E64" s="123">
        <f>AVERAGE(AVERAGE(D12:D16)/4,AVERAGE(D18:D22)/4,AVERAGE(D24:D28)/4,D62)</f>
        <v>0.48680272108843536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2023-06-21T11:10:22Z</dcterms:modified>
  <cp:category/>
  <cp:contentStatus/>
</cp:coreProperties>
</file>