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AEEECDD7-8926-4409-9216-8AD07301DD4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" i="7" l="1"/>
  <c r="E14" i="7" s="1"/>
  <c r="E13" i="7"/>
  <c r="C30" i="4"/>
  <c r="E64" i="5" l="1"/>
  <c r="C47" i="4"/>
  <c r="C14" i="7"/>
  <c r="E11" i="7"/>
  <c r="J27" i="1" l="1"/>
  <c r="I16" i="1"/>
  <c r="C37" i="1"/>
  <c r="B18" i="1" s="1"/>
  <c r="G30" i="4"/>
  <c r="C31" i="4"/>
  <c r="C35" i="4"/>
  <c r="G27" i="4"/>
  <c r="D6" i="4"/>
  <c r="E10" i="7" l="1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9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C13" i="7" l="1"/>
  <c r="D7" i="7"/>
  <c r="D4" i="7"/>
  <c r="D6" i="7"/>
  <c r="D5" i="7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8" i="7"/>
  <c r="F31" i="4" s="1"/>
  <c r="C12" i="7"/>
  <c r="C17" i="7" s="1"/>
  <c r="C15" i="7" s="1"/>
  <c r="D52" i="3"/>
  <c r="C17" i="4" s="1"/>
  <c r="C46" i="3"/>
  <c r="E26" i="3"/>
  <c r="D26" i="3" s="1"/>
  <c r="E59" i="3"/>
  <c r="C15" i="4" s="1"/>
  <c r="D15" i="4" s="1"/>
  <c r="F44" i="2"/>
  <c r="E12" i="2"/>
  <c r="C13" i="2"/>
  <c r="C11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C27" i="4" s="1"/>
  <c r="J18" i="1"/>
  <c r="J16" i="1"/>
  <c r="F47" i="4"/>
  <c r="C20" i="4"/>
  <c r="B3" i="7"/>
  <c r="C11" i="1"/>
  <c r="D17" i="4" l="1"/>
  <c r="C32" i="4"/>
  <c r="D48" i="4"/>
  <c r="E12" i="7"/>
  <c r="E17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9" i="7"/>
  <c r="C20" i="7"/>
  <c r="C4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6" i="3"/>
  <c r="D7" i="3" s="1"/>
  <c r="C7" i="4"/>
  <c r="C28" i="4"/>
  <c r="C33" i="4" s="1"/>
  <c r="C34" i="4" s="1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D31" i="4" l="1"/>
  <c r="D32" i="4" s="1"/>
  <c r="G32" i="4"/>
  <c r="E20" i="7"/>
  <c r="E19" i="7" s="1"/>
  <c r="J26" i="3"/>
  <c r="D18" i="5" s="1"/>
  <c r="C37" i="4" s="1"/>
  <c r="D4" i="4" l="1"/>
  <c r="E18" i="5"/>
  <c r="D64" i="5"/>
  <c r="E7" i="5" s="1"/>
  <c r="D7" i="5" s="1"/>
  <c r="D8" i="5" s="1"/>
  <c r="E8" i="5" s="1"/>
  <c r="F43" i="1"/>
  <c r="G40" i="4" l="1"/>
  <c r="D28" i="4"/>
  <c r="G16" i="4"/>
  <c r="E47" i="4" s="1"/>
  <c r="D5" i="4"/>
  <c r="F18" i="4"/>
  <c r="D7" i="4"/>
  <c r="D8" i="4" s="1"/>
  <c r="D9" i="4" s="1"/>
  <c r="D11" i="4"/>
  <c r="D38" i="4" s="1"/>
  <c r="G38" i="4" s="1"/>
  <c r="F41" i="1"/>
  <c r="D33" i="4" l="1"/>
  <c r="D34" i="4" s="1"/>
  <c r="D37" i="4" s="1"/>
  <c r="D39" i="4" s="1"/>
  <c r="G28" i="4"/>
  <c r="E6" i="3"/>
  <c r="F16" i="1"/>
  <c r="H16" i="1" s="1"/>
  <c r="E17" i="4"/>
  <c r="D12" i="4"/>
  <c r="H18" i="1" l="1"/>
  <c r="G10" i="7"/>
  <c r="G3" i="7"/>
  <c r="E3" i="4" s="1"/>
  <c r="G4" i="4" l="1"/>
  <c r="B21" i="4" s="1"/>
  <c r="G2" i="4" s="1"/>
  <c r="G26" i="4" s="1"/>
  <c r="E27" i="4"/>
  <c r="G12" i="7"/>
  <c r="G17" i="7" s="1"/>
  <c r="G18" i="7" l="1"/>
  <c r="E31" i="4" s="1"/>
  <c r="G31" i="4" s="1"/>
  <c r="G16" i="7"/>
  <c r="G15" i="7"/>
  <c r="G20" i="7" l="1"/>
  <c r="E4" i="4" l="1"/>
  <c r="E28" i="4" s="1"/>
  <c r="E32" i="4" s="1"/>
  <c r="G19" i="7"/>
  <c r="G33" i="4" l="1"/>
  <c r="G34" i="4" s="1"/>
  <c r="G37" i="4" s="1"/>
  <c r="E33" i="4"/>
  <c r="E34" i="4" s="1"/>
  <c r="E8" i="4"/>
  <c r="E5" i="4"/>
  <c r="E10" i="4"/>
  <c r="E35" i="4" s="1"/>
  <c r="E11" i="4" l="1"/>
  <c r="E38" i="4" s="1"/>
  <c r="E9" i="4"/>
  <c r="G9" i="4"/>
  <c r="G11" i="4" l="1"/>
  <c r="E23" i="4" s="1"/>
  <c r="E12" i="4"/>
  <c r="F23" i="4" l="1"/>
  <c r="G23" i="4" s="1"/>
  <c r="E22" i="4"/>
  <c r="F22" i="4" s="1"/>
  <c r="G22" i="4" l="1"/>
  <c r="G24" i="4" s="1"/>
  <c r="E36" i="4"/>
  <c r="E37" i="4" s="1"/>
  <c r="E39" i="4" l="1"/>
  <c r="G39" i="4" l="1"/>
  <c r="G41" i="4" s="1"/>
  <c r="C44" i="4" l="1"/>
  <c r="C49" i="4" s="1"/>
  <c r="F48" i="1" l="1"/>
  <c r="C48" i="4"/>
  <c r="E44" i="4"/>
  <c r="F44" i="4"/>
  <c r="E14" i="1"/>
  <c r="F49" i="4"/>
  <c r="I38" i="1"/>
  <c r="E49" i="4"/>
  <c r="F48" i="4" l="1"/>
  <c r="I37" i="1"/>
  <c r="B17" i="1" s="1"/>
  <c r="E48" i="4"/>
  <c r="E48" i="1"/>
  <c r="D18" i="1" l="1"/>
  <c r="E37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<sst xmlns="http://schemas.openxmlformats.org/spreadsheetml/2006/main" count="449" uniqueCount="381">
  <si>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</si>
  <si>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</si>
  <si>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</si>
  <si>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</si>
  <si>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</si>
  <si>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</si>
  <si>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</si>
  <si>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</si>
  <si>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</si>
  <si>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</si>
  <si>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</si>
  <si>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</si>
  <si>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</si>
  <si>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</si>
  <si>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</si>
  <si>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</si>
  <si>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</si>
  <si>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</si>
  <si>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</si>
  <si>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</si>
  <si>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</si>
  <si>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</si>
  <si>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</si>
  <si>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</si>
  <si>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</si>
  <si>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</si>
  <si>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</si>
  <si>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</si>
  <si>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</si>
  <si>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</si>
  <si>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</si>
  <si>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</si>
  <si>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</si>
  <si>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</si>
  <si>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</si>
  <si>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</si>
  <si>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</si>
  <si>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</si>
  <si>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</si>
  <si>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</si>
  <si>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</si>
  <si>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</si>
  <si>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</si>
  <si>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</si>
  <si>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</si>
  <si>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</si>
  <si>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</si>
  <si>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</si>
  <si>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</si>
  <si>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</si>
  <si>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</si>
  <si>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</si>
  <si>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</si>
  <si>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</si>
  <si>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</si>
  <si>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</si>
  <si>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</si>
  <si>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</si>
  <si>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</si>
  <si>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</si>
  <si>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</si>
  <si>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</si>
  <si>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</si>
  <si>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</si>
  <si>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</si>
  <si>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</si>
  <si>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</si>
  <si>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</si>
  <si>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</si>
  <si>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</si>
  <si>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</si>
  <si>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</si>
  <si>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</si>
  <si>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</si>
  <si>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</si>
  <si>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</si>
  <si>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</si>
  <si>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</si>
  <si>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</si>
  <si>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</si>
  <si>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</si>
  <si>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</si>
  <si>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</si>
  <si>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</si>
  <si>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</si>
  <si>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</si>
  <si>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</si>
  <si>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</si>
  <si>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</si>
  <si>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</si>
  <si>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</si>
  <si>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</si>
  <si>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</si>
  <si>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</si>
  <si>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</si>
  <si>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</si>
  <si>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</si>
  <si>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</si>
  <si>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</si>
  <si>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</si>
  <si>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</si>
  <si>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</si>
  <si>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</si>
  <si>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</si>
  <si>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</si>
  <si>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</si>
  <si>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</si>
  <si>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</si>
  <si>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</si>
  <si>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</si>
  <si>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</si>
  <si>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</si>
  <si>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</si>
  <si>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</si>
  <si>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</si>
  <si>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</si>
  <si>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</si>
  <si>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</si>
  <si>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</si>
  <si>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</si>
  <si>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</si>
  <si>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</si>
  <si>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</si>
  <si>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</si>
  <si>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</si>
  <si>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</si>
  <si>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</si>
  <si>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</si>
  <si>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</si>
  <si>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</si>
  <si>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</si>
  <si>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</si>
  <si>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</si>
  <si>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</si>
  <si>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</si>
  <si>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</si>
  <si>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</si>
  <si>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</si>
  <si>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</si>
  <si>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</si>
  <si>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</si>
  <si>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</si>
  <si>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</si>
  <si>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</si>
  <si>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</si>
  <si>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</si>
  <si>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</si>
  <si>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</si>
  <si>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</si>
  <si>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</si>
  <si>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</si>
  <si>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</si>
  <si>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</si>
  <si>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</si>
  <si>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</si>
  <si>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</si>
  <si>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</si>
  <si>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</si>
  <si>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</si>
  <si>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</si>
  <si>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</si>
  <si>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</si>
  <si>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</si>
  <si>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</si>
  <si>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</si>
  <si>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</si>
  <si>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</si>
  <si>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</si>
  <si>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</si>
  <si>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</si>
  <si>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</si>
  <si>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</si>
  <si>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</si>
  <si>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</si>
  <si>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</si>
  <si>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</si>
  <si>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</si>
  <si>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</si>
  <si>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</si>
  <si>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</si>
  <si>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</si>
  <si>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</si>
  <si>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</si>
  <si>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</si>
  <si>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</si>
  <si>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</si>
  <si>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</si>
  <si>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</si>
  <si>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</si>
  <si>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</si>
  <si>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</si>
  <si>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</si>
  <si>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</si>
  <si>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</si>
  <si>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</si>
  <si>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</si>
  <si>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</si>
  <si>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</si>
  <si>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</si>
  <si>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</si>
  <si>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</si>
  <si>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</si>
  <si>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</si>
  <si>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</si>
  <si>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</si>
  <si>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</si>
  <si>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</si>
  <si>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</si>
  <si>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</si>
  <si>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</si>
  <si>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</si>
  <si>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</si>
  <si>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</si>
  <si>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</si>
  <si>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</si>
  <si>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</si>
  <si>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</si>
  <si>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</si>
  <si>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</si>
  <si>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</si>
  <si>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</si>
  <si>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</si>
  <si>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</si>
  <si>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</si>
  <si>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</si>
  <si>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</si>
  <si>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</si>
  <si>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</si>
  <si>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</si>
  <si>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</si>
  <si>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</si>
  <si>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</si>
  <si>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</si>
  <si>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</si>
  <si>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</si>
  <si>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</si>
  <si>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</si>
  <si>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</si>
  <si>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</si>
  <si>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</si>
  <si>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</si>
  <si>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</si>
  <si>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</si>
  <si>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</si>
  <si>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</si>
  <si>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</si>
  <si>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</si>
  <si>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</si>
  <si>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</si>
  <si>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</si>
  <si>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</si>
  <si>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</si>
  <si>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</si>
  <si>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</si>
  <si>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</si>
  <si>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</si>
  <si>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</si>
  <si>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</si>
  <si>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</si>
  <si>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</si>
  <si>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</si>
  <si>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</si>
  <si>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</si>
  <si>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</si>
  <si>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</si>
  <si>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</si>
  <si>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</si>
  <si>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</si>
  <si>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</si>
  <si>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</si>
  <si>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</si>
  <si>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</si>
  <si>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</si>
  <si>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</si>
  <si>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</si>
  <si>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</si>
  <si>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</si>
  <si>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</si>
  <si>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</si>
  <si>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</si>
  <si>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</si>
  <si>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</si>
  <si>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</si>
  <si>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</si>
  <si>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</si>
  <si>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</si>
  <si>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</si>
  <si>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</si>
  <si>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</si>
  <si>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</si>
  <si>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</si>
  <si>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</si>
  <si>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</si>
  <si>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</si>
  <si>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</si>
  <si>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</si>
  <si>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</si>
  <si>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</si>
  <si>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</si>
  <si>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</si>
  <si>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</si>
  <si>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</si>
  <si>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</si>
  <si>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</si>
  <si>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</si>
  <si>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</si>
  <si>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</si>
  <si>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</si>
  <si>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</si>
  <si>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</si>
  <si>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</si>
  <si>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</si>
  <si>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</si>
  <si>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</si>
  <si>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</si>
  <si>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</si>
  <si>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</si>
  <si>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</si>
  <si>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</si>
  <si>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</si>
  <si>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</si>
  <si>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</si>
  <si>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</si>
  <si>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</si>
  <si>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</si>
  <si>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</si>
  <si>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</si>
  <si>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</si>
  <si>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</si>
  <si>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</si>
  <si>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FY</t>
  </si>
  <si>
    <t>收租業務</t>
  </si>
  <si>
    <t>酒店及服務式公寓業務</t>
  </si>
  <si>
    <t>餐飲業務</t>
  </si>
  <si>
    <t>旅遊業務</t>
  </si>
  <si>
    <t>Consumer Discretionary, 12.4y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</si>
  <si>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</si>
  <si>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</si>
  <si>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</si>
  <si>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</si>
  <si>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</si>
  <si>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</si>
  <si>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</si>
  <si>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</si>
  <si>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</si>
  <si>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</si>
  <si>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</si>
  <si>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</si>
  <si>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</si>
  <si>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</si>
  <si>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</si>
  <si>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</si>
  <si>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</si>
  <si>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</si>
  <si>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</si>
  <si>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</si>
  <si>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</si>
  <si>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</si>
  <si>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</si>
  <si>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</si>
  <si>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</si>
  <si>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</si>
  <si>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</si>
  <si>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</si>
  <si>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</si>
  <si>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</si>
  <si>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</si>
  <si>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6601.HK</t>
  </si>
  <si>
    <t>CHEERWIN GP</t>
  </si>
  <si>
    <t>CNY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</si>
  <si>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</si>
  <si>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</si>
  <si>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</si>
  <si>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</si>
  <si>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</si>
  <si>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家居清潔業務处于红海市场，容量可能持续萎缩
2. 宠物护理市场容量及基数都较小，不足以取代家居清潔業務</t>
  </si>
  <si>
    <t>1. 宠物护理市场竞争大，现在公司优势很小</t>
  </si>
  <si>
    <t>1. No. 传统业务肯定很难改变，但也不会像市场想象的那么悲观，公司产品是有竞争力及需求的
2. No. 宠物护理基数太小，短期没有替代作用</t>
  </si>
  <si>
    <t>Current Industry average PB is 1.01, while 5yrs average is 1.38</t>
  </si>
  <si>
    <t>&gt;10% growth in the first half</t>
  </si>
  <si>
    <t>Room for further cutting the Operating expense is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</si>
</sst>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31" zoomScaleNormal="100" workbookViewId="0">
      <selection activeCell="G38" sqref="G38:H3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0" t="s">
        <v>367</v>
      </c>
      <c r="D3" s="431"/>
      <c r="E3" s="15"/>
      <c r="G3" s="7" t="s">
        <v>2</v>
      </c>
      <c r="I3" s="440" t="s">
        <v>3</v>
      </c>
      <c r="J3" s="441"/>
    </row>
    <row r="4" spans="1:12" ht="15.75" customHeight="1">
      <c r="B4" s="5" t="s">
        <v>4</v>
      </c>
      <c r="C4" s="432" t="s">
        <v>368</v>
      </c>
      <c r="D4" s="433"/>
      <c r="E4" s="6"/>
      <c r="G4" s="5" t="s">
        <v>5</v>
      </c>
      <c r="I4" s="31">
        <v>1.8</v>
      </c>
      <c r="J4" s="32" t="s">
        <v>6</v>
      </c>
      <c r="K4" s="145"/>
    </row>
    <row r="5" spans="1:12" ht="15.75" customHeight="1">
      <c r="B5" s="5" t="s">
        <v>7</v>
      </c>
      <c r="C5" s="434">
        <v>44931</v>
      </c>
      <c r="D5" s="433"/>
      <c r="E5" s="118" t="str">
        <f ca="1">IF(C5+30&gt;=TODAY(),"Patience Premium","")</f>
        <v/>
      </c>
      <c r="G5" s="5" t="s">
        <v>8</v>
      </c>
      <c r="I5" s="405">
        <v>1333330048</v>
      </c>
      <c r="J5" s="406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42">
        <f>I4*I5/1000000</f>
        <v>2399.9940864</v>
      </c>
      <c r="J6" s="443"/>
      <c r="K6" s="144"/>
    </row>
    <row r="7" spans="1:12" ht="15.75" customHeight="1">
      <c r="B7" s="132" t="s">
        <v>10</v>
      </c>
      <c r="C7" s="138">
        <f>(Data!C39*Exchange_Rate)/I4</f>
        <v>4.3697401468939905E-2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33.986878320480997</v>
      </c>
      <c r="J9" s="47">
        <f>IF(I9="NNI","NNI",1/I9)</f>
        <v>2.9423120022099385E-2</v>
      </c>
    </row>
    <row r="10" spans="1:12" ht="15.75" customHeight="1">
      <c r="B10" s="3" t="s">
        <v>250</v>
      </c>
      <c r="C10" s="271" t="s">
        <v>370</v>
      </c>
      <c r="D10" s="271">
        <v>3.6810000000000002E-2</v>
      </c>
      <c r="E10" s="5"/>
      <c r="G10" s="5" t="s">
        <v>14</v>
      </c>
      <c r="I10" s="131">
        <f>I4/(Data!C28*I12*Data!C4/Common_Shares)</f>
        <v>0.78019506331535371</v>
      </c>
      <c r="J10" s="123" t="str">
        <f>IF(Asset_Model!D60/'Val Models'!C4&lt;0,"Negative EV",Asset_Model!D60/'Val Models'!C4)</f>
        <v>Negative EV</v>
      </c>
    </row>
    <row r="11" spans="1:12" ht="15.75" customHeight="1" thickBot="1">
      <c r="B11" s="280" t="s">
        <v>251</v>
      </c>
      <c r="C11" s="403">
        <f ca="1">C12-D10</f>
        <v>4.3189999999999999E-2</v>
      </c>
      <c r="D11" s="404"/>
      <c r="E11" s="13"/>
      <c r="G11" s="5" t="s">
        <v>15</v>
      </c>
      <c r="H11" s="6"/>
      <c r="I11" s="452" t="s">
        <v>369</v>
      </c>
      <c r="J11" s="453"/>
    </row>
    <row r="12" spans="1:12" ht="15.75" customHeight="1" thickTop="1">
      <c r="B12" s="281" t="s">
        <v>141</v>
      </c>
      <c r="C12" s="450">
        <f ca="1">IF(C10="CN",8%,6%)*IF($C$5+30&gt;=TODAY(),1.2,1)</f>
        <v>0.08</v>
      </c>
      <c r="D12" s="451"/>
      <c r="G12" s="127" t="s">
        <v>16</v>
      </c>
      <c r="H12" s="126"/>
      <c r="I12" s="128">
        <v>1.0909209648768108</v>
      </c>
      <c r="J12" s="129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37" t="s">
        <v>307</v>
      </c>
      <c r="D14" s="231"/>
      <c r="E14" s="184">
        <f ca="1">'Val Models'!C44</f>
        <v>1.8032788670929241</v>
      </c>
      <c r="F14" s="177"/>
      <c r="G14" s="178"/>
      <c r="H14" s="337" t="s">
        <v>366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365</v>
      </c>
      <c r="D15" s="86" t="s">
        <v>19</v>
      </c>
      <c r="E15" s="132"/>
      <c r="F15" s="59" t="s">
        <v>22</v>
      </c>
      <c r="H15" s="342" t="s">
        <v>21</v>
      </c>
      <c r="I15" s="86" t="s">
        <v>353</v>
      </c>
      <c r="J15" s="86" t="s">
        <v>20</v>
      </c>
    </row>
    <row r="16" spans="1:12" ht="15.75" customHeight="1">
      <c r="B16" s="124">
        <f>I4</f>
        <v>1.8</v>
      </c>
      <c r="C16" s="426">
        <v>0.2</v>
      </c>
      <c r="D16" s="152">
        <f ca="1">I37/B16-(1+C16)</f>
        <v>-7.0596867342332059E-2</v>
      </c>
      <c r="E16" s="417" t="s">
        <v>23</v>
      </c>
      <c r="F16" s="444">
        <f>('Val Models'!G16)*Exchange_Rate</f>
        <v>1.9989792102971353</v>
      </c>
      <c r="G16" s="417" t="s">
        <v>24</v>
      </c>
      <c r="H16" s="343">
        <f>B16-$F$16</f>
        <v>-0.19897921029713528</v>
      </c>
      <c r="I16" s="412">
        <f>0.28+0.21</f>
        <v>0.49</v>
      </c>
      <c r="J16" s="154">
        <f>I16/B16</f>
        <v>0.2722222222222222</v>
      </c>
    </row>
    <row r="17" spans="1:10" ht="15.75" customHeight="1">
      <c r="B17" s="261">
        <f ca="1">MIN((I37+I38)/2,E14,I37/(1+C16))</f>
        <v>1.6941046989865021</v>
      </c>
      <c r="C17" s="427"/>
      <c r="D17" s="260">
        <f ca="1">I37/B17-(1+C16)</f>
        <v>0</v>
      </c>
      <c r="E17" s="418"/>
      <c r="F17" s="445"/>
      <c r="G17" s="418"/>
      <c r="H17" s="344">
        <f ca="1">B17-$F$16</f>
        <v>-0.30487451131063326</v>
      </c>
      <c r="I17" s="413"/>
      <c r="J17" s="155">
        <f ca="1">I16/B17</f>
        <v>0.28923832174784853</v>
      </c>
    </row>
    <row r="18" spans="1:10" ht="15.75" customHeight="1">
      <c r="B18" s="315">
        <f>C37</f>
        <v>1.42</v>
      </c>
      <c r="C18" s="428"/>
      <c r="D18" s="153">
        <f ca="1">I37/B18-(1+C16)</f>
        <v>0.23163777379141015</v>
      </c>
      <c r="E18" s="419"/>
      <c r="F18" s="446"/>
      <c r="G18" s="419"/>
      <c r="H18" s="345">
        <f>B18-$F$16</f>
        <v>-0.57897921029713539</v>
      </c>
      <c r="I18" s="414"/>
      <c r="J18" s="156">
        <f>I16/B18</f>
        <v>0.34507042253521125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301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37" t="s">
        <v>371</v>
      </c>
      <c r="D21" s="438"/>
      <c r="E21" s="438"/>
      <c r="F21" s="438"/>
      <c r="G21" s="438"/>
      <c r="H21" s="438"/>
      <c r="I21" s="438"/>
      <c r="J21" s="439"/>
    </row>
    <row r="22" spans="1:10" ht="52.5" customHeight="1">
      <c r="A22" s="6"/>
      <c r="B22" s="24" t="s">
        <v>27</v>
      </c>
      <c r="C22" s="448" t="s">
        <v>372</v>
      </c>
      <c r="D22" s="449"/>
      <c r="E22" s="449"/>
      <c r="F22" s="449"/>
      <c r="G22" s="448" t="s">
        <v>373</v>
      </c>
      <c r="H22" s="448"/>
      <c r="I22" s="449"/>
      <c r="J22" s="449"/>
    </row>
    <row r="23" spans="1:10" ht="52.5" customHeight="1">
      <c r="A23" s="6"/>
      <c r="B23" s="24" t="s">
        <v>28</v>
      </c>
      <c r="C23" s="415" t="s">
        <v>374</v>
      </c>
      <c r="D23" s="416"/>
      <c r="E23" s="416"/>
      <c r="F23" s="416"/>
      <c r="G23" s="415" t="s">
        <v>376</v>
      </c>
      <c r="H23" s="415"/>
      <c r="I23" s="416"/>
      <c r="J23" s="416"/>
    </row>
    <row r="24" spans="1:10" ht="52.5" customHeight="1">
      <c r="A24" s="6"/>
      <c r="B24" s="24" t="s">
        <v>322</v>
      </c>
      <c r="C24" s="454" t="s">
        <v>375</v>
      </c>
      <c r="D24" s="455"/>
      <c r="E24" s="455"/>
      <c r="F24" s="455"/>
      <c r="G24" s="455"/>
      <c r="H24" s="455"/>
      <c r="I24" s="455"/>
      <c r="J24" s="456"/>
    </row>
    <row r="25" spans="1:10" ht="52.5" customHeight="1">
      <c r="A25" s="6"/>
      <c r="B25" s="350" t="s">
        <v>321</v>
      </c>
      <c r="C25" s="457" t="s">
        <v>377</v>
      </c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316</v>
      </c>
      <c r="I27" s="29"/>
      <c r="J27" s="391">
        <f>C16</f>
        <v>0.2</v>
      </c>
    </row>
    <row r="28" spans="1:10" ht="15.75" customHeight="1">
      <c r="B28" s="23" t="s">
        <v>31</v>
      </c>
      <c r="C28" s="435">
        <v>44932</v>
      </c>
      <c r="D28" s="436"/>
      <c r="E28" s="423" t="str">
        <f>IF(C28="","","Action_Planning")</f>
        <v>Action_Planning</v>
      </c>
      <c r="F28" s="424"/>
      <c r="G28" s="424"/>
      <c r="H28" s="425"/>
      <c r="I28" s="447" t="s">
        <v>32</v>
      </c>
      <c r="J28" s="447"/>
    </row>
    <row r="29" spans="1:10" ht="15.75" customHeight="1">
      <c r="B29" s="23" t="s">
        <v>33</v>
      </c>
      <c r="C29" s="411">
        <f>C33/D27</f>
        <v>0.15545454545454546</v>
      </c>
      <c r="D29" s="402"/>
      <c r="E29" s="410">
        <f>E33/D27</f>
        <v>0.12909090909090909</v>
      </c>
      <c r="F29" s="402"/>
      <c r="G29" s="421">
        <f>G33/D27</f>
        <v>0</v>
      </c>
      <c r="H29" s="422"/>
      <c r="I29" s="420">
        <f>C29+E29+G29</f>
        <v>0.28454545454545455</v>
      </c>
      <c r="J29" s="420"/>
    </row>
    <row r="30" spans="1:10" ht="15.75" customHeight="1">
      <c r="B30" s="23" t="s">
        <v>34</v>
      </c>
      <c r="C30" s="392">
        <v>60000</v>
      </c>
      <c r="D30" s="393"/>
      <c r="E30" s="392">
        <v>60000</v>
      </c>
      <c r="F30" s="393"/>
      <c r="G30" s="405"/>
      <c r="H30" s="406"/>
      <c r="I30" s="429">
        <f>C30+E30+G30</f>
        <v>120000</v>
      </c>
      <c r="J30" s="429"/>
    </row>
    <row r="31" spans="1:10" ht="15.75" customHeight="1">
      <c r="B31" s="23" t="s">
        <v>35</v>
      </c>
      <c r="C31" s="394">
        <v>1.71</v>
      </c>
      <c r="D31" s="393"/>
      <c r="E31" s="394">
        <v>1.42</v>
      </c>
      <c r="F31" s="393"/>
      <c r="G31" s="408"/>
      <c r="H31" s="409"/>
      <c r="I31" s="407"/>
      <c r="J31" s="407"/>
    </row>
    <row r="32" spans="1:10" ht="15.75" customHeight="1">
      <c r="B32" s="23" t="s">
        <v>36</v>
      </c>
      <c r="C32" s="395">
        <f>C31*$I$5/1000000</f>
        <v>2279.9943820799999</v>
      </c>
      <c r="D32" s="396"/>
      <c r="E32" s="395">
        <f>E31*$I$5/1000000</f>
        <v>1893.3286681599998</v>
      </c>
      <c r="F32" s="396"/>
      <c r="G32" s="467">
        <f>G31*$I$5/1000000</f>
        <v>0</v>
      </c>
      <c r="H32" s="468"/>
      <c r="I32" s="471"/>
      <c r="J32" s="471"/>
    </row>
    <row r="33" spans="2:11" ht="15.75" customHeight="1">
      <c r="B33" s="2" t="s">
        <v>37</v>
      </c>
      <c r="C33" s="397">
        <f>C30*C31</f>
        <v>102600</v>
      </c>
      <c r="D33" s="398"/>
      <c r="E33" s="399">
        <f>E30*E31</f>
        <v>85200</v>
      </c>
      <c r="F33" s="400"/>
      <c r="G33" s="469">
        <f>G30*G31</f>
        <v>0</v>
      </c>
      <c r="H33" s="470"/>
      <c r="I33" s="399">
        <f>C33+E33+G33</f>
        <v>187800</v>
      </c>
      <c r="J33" s="399"/>
    </row>
    <row r="34" spans="2:11" ht="15.75" customHeight="1">
      <c r="B34" s="1" t="s">
        <v>38</v>
      </c>
      <c r="C34" s="472"/>
      <c r="D34" s="473"/>
      <c r="E34" s="401">
        <f>IF(C33=0,"-",(C33+E33)/(C30+E30))</f>
        <v>1.5649999999999999</v>
      </c>
      <c r="F34" s="402"/>
      <c r="G34" s="113"/>
      <c r="H34" s="113"/>
      <c r="I34" s="401">
        <f>IF(I33=0,"",I33/I30)</f>
        <v>1.5649999999999999</v>
      </c>
      <c r="J34" s="401"/>
    </row>
    <row r="35" spans="2:11" ht="15.75" customHeight="1">
      <c r="B35" s="1" t="s">
        <v>39</v>
      </c>
      <c r="C35" s="474"/>
      <c r="D35" s="475"/>
      <c r="E35" s="395">
        <f>IF(E34="-","-",E34*$I$5/1000000)</f>
        <v>2086.6615251200001</v>
      </c>
      <c r="F35" s="396"/>
      <c r="G35" s="114"/>
      <c r="H35" s="114"/>
      <c r="I35" s="395">
        <f>IF(I34="","",I34*$I$5/1000000)</f>
        <v>2086.6615251200001</v>
      </c>
      <c r="J35" s="395"/>
    </row>
    <row r="36" spans="2:11" ht="15.75" customHeight="1"/>
    <row r="37" spans="2:11" ht="15.75" customHeight="1">
      <c r="B37" s="139" t="s">
        <v>280</v>
      </c>
      <c r="C37" s="463">
        <f>E31</f>
        <v>1.42</v>
      </c>
      <c r="D37" s="464"/>
      <c r="E37" s="149" t="str">
        <f ca="1">IF(C37&gt;B17,"Caution! &gt; Breakeven price!","")</f>
        <v/>
      </c>
      <c r="G37" s="460" t="s">
        <v>359</v>
      </c>
      <c r="H37" s="460"/>
      <c r="I37" s="461">
        <f ca="1">'Val Models'!C48</f>
        <v>2.0329256387838024</v>
      </c>
      <c r="J37" s="462"/>
    </row>
    <row r="38" spans="2:11" ht="15.75" customHeight="1">
      <c r="B38" s="139" t="s">
        <v>310</v>
      </c>
      <c r="C38" s="463">
        <f>E34</f>
        <v>1.5649999999999999</v>
      </c>
      <c r="D38" s="464"/>
      <c r="G38" s="465" t="s">
        <v>308</v>
      </c>
      <c r="H38" s="466"/>
      <c r="I38" s="461">
        <f ca="1">'Val Models'!C49</f>
        <v>1.4426230936743392</v>
      </c>
      <c r="J38" s="462"/>
    </row>
    <row r="39" spans="2:11" ht="15.75" customHeight="1"/>
    <row r="40" spans="2:11" ht="15.75" customHeight="1">
      <c r="B40" s="21" t="s">
        <v>290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293</v>
      </c>
      <c r="F41" s="202">
        <f>'Qualitative Analysis'!E8</f>
        <v>0.64</v>
      </c>
      <c r="G41" s="323"/>
      <c r="H41" s="112"/>
      <c r="I41" s="112"/>
      <c r="J41" s="112"/>
    </row>
    <row r="42" spans="2:11" ht="15.75" customHeight="1">
      <c r="B42" s="3" t="s">
        <v>292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299</v>
      </c>
      <c r="F43" s="321">
        <f>'Qualitative Analysis'!E64</f>
        <v>0.44088435374149659</v>
      </c>
      <c r="G43" s="323" t="s">
        <v>291</v>
      </c>
      <c r="H43" s="112"/>
      <c r="I43" s="112"/>
      <c r="J43" s="112"/>
    </row>
    <row r="44" spans="2:11" ht="15.75" customHeight="1">
      <c r="B44" s="3" t="s">
        <v>313</v>
      </c>
      <c r="F44" s="324">
        <f>AVERAGE(80%*0.5,0.6)</f>
        <v>0.5</v>
      </c>
      <c r="G44" s="72" t="s">
        <v>294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311</v>
      </c>
      <c r="F46" s="250" t="s">
        <v>312</v>
      </c>
    </row>
    <row r="47" spans="2:11" ht="15.75" customHeight="1">
      <c r="B47" s="3" t="s">
        <v>295</v>
      </c>
      <c r="E47" s="321">
        <f ca="1">I37/C31-1</f>
        <v>0.18884540279754525</v>
      </c>
      <c r="F47" s="321">
        <f ca="1">I37/C38-1</f>
        <v>0.29899401839220596</v>
      </c>
      <c r="J47" s="348"/>
    </row>
    <row r="48" spans="2:11" ht="15.75" customHeight="1">
      <c r="B48" s="3" t="s">
        <v>296</v>
      </c>
      <c r="E48" s="321">
        <f ca="1">'Val Models'!C49/C31-1</f>
        <v>-0.15636076393313503</v>
      </c>
      <c r="F48" s="321">
        <f ca="1">'Val Models'!C49/C38-1</f>
        <v>-7.8196106278377475E-2</v>
      </c>
    </row>
    <row r="49" spans="2:9" ht="15.75" customHeight="1"/>
    <row r="50" spans="2:9" ht="15.75" customHeight="1">
      <c r="B50" s="3" t="s">
        <v>298</v>
      </c>
      <c r="E50" s="341">
        <f ca="1">IF(E47&lt;=0,0,AVERAGE(F41:F43,1-F44))-(MAX(0,1-E51))</f>
        <v>0.59522108843537413</v>
      </c>
      <c r="F50" s="321">
        <f ca="1">IF(F47&lt;=0,0,AVERAGE(F41:F43,1-F44))-(MAX(0,1-F51))</f>
        <v>0.59522108843537413</v>
      </c>
      <c r="G50" s="72"/>
    </row>
    <row r="51" spans="2:9" ht="15.75" customHeight="1">
      <c r="B51" s="3" t="s">
        <v>297</v>
      </c>
      <c r="D51" s="318"/>
      <c r="E51" s="320">
        <f ca="1">IF(E48&gt;=0,100,E47/ABS(E48))</f>
        <v>1.2077544138777789</v>
      </c>
      <c r="F51" s="320">
        <f ca="1">IF(F48&gt;=0,100,F47/ABS(F48))</f>
        <v>3.8236433068392151</v>
      </c>
      <c r="G51" s="72"/>
    </row>
    <row r="52" spans="2:9" ht="15.75" customHeight="1">
      <c r="B52" s="3" t="s">
        <v>314</v>
      </c>
      <c r="E52" s="346">
        <f ca="1">MAX(C16*2.5/E47,1)+IF(E47&lt;C16,100,0)</f>
        <v>102.64766837102216</v>
      </c>
      <c r="F52" s="346">
        <f ca="1">MAX(C16*2.5/F47,1)+IF(F47&lt;C16,100,0)+IF(D18&lt;0,100,0)</f>
        <v>1.6722742571529443</v>
      </c>
      <c r="G52" s="322"/>
      <c r="H52" s="83"/>
      <c r="I52" s="83"/>
    </row>
    <row r="53" spans="2:9" ht="15.75" customHeight="1">
      <c r="B53" s="3" t="s">
        <v>315</v>
      </c>
      <c r="E53" s="319">
        <f ca="1">MIN(MAX(E50-ABS((1-E50)/E51),0)/E52,H53)</f>
        <v>2.5336286367440056E-3</v>
      </c>
      <c r="F53" s="319">
        <f ca="1">MIN(MAX(F50-ABS((1-F50)/F51),0)/F52,H53)</f>
        <v>0.29263082055024331</v>
      </c>
      <c r="G53" s="322" t="s">
        <v>300</v>
      </c>
      <c r="H53" s="76">
        <v>0.4</v>
      </c>
    </row>
    <row r="54" spans="2:9" ht="15.75" customHeight="1"/>
    <row r="55" spans="2:9" ht="15.75" customHeight="1">
      <c r="B55" s="21" t="s">
        <v>304</v>
      </c>
    </row>
    <row r="56" spans="2:9" ht="15.75" customHeight="1">
      <c r="B56" s="349" t="s">
        <v>305</v>
      </c>
    </row>
    <row r="57" spans="2:9" ht="15.75" customHeight="1">
      <c r="B57" s="3" t="s">
        <v>318</v>
      </c>
    </row>
    <row r="58" spans="2:9" ht="15.75" customHeight="1">
      <c r="B58" s="3" t="s">
        <v>317</v>
      </c>
    </row>
    <row r="59" spans="2:9" ht="15.75" customHeight="1"/>
    <row r="60" spans="2:9" ht="15.75" customHeight="1">
      <c r="B60" s="349" t="s">
        <v>306</v>
      </c>
    </row>
    <row r="61" spans="2:9" ht="15.75" customHeight="1">
      <c r="B61" s="3" t="s">
        <v>319</v>
      </c>
    </row>
    <row r="62" spans="2:9" ht="15.75" customHeight="1">
      <c r="B62" s="3" t="s">
        <v>320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4" zoomScaleNormal="100" workbookViewId="0">
      <selection activeCell="F10" sqref="F1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64730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58777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1442194</v>
      </c>
      <c r="D7" s="34">
        <v>1769157</v>
      </c>
      <c r="E7" s="34">
        <v>1702154</v>
      </c>
      <c r="F7" s="34">
        <v>1383402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842386</v>
      </c>
      <c r="D9" s="34">
        <v>981731</v>
      </c>
      <c r="E9" s="34">
        <v>959572</v>
      </c>
      <c r="F9" s="34">
        <v>783542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541031</v>
      </c>
      <c r="D11" s="34">
        <v>715420</v>
      </c>
      <c r="E11" s="34">
        <v>466870</v>
      </c>
      <c r="F11" s="34">
        <v>375859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58777</v>
      </c>
      <c r="D14" s="26">
        <f t="shared" si="5"/>
        <v>72006</v>
      </c>
      <c r="E14" s="26">
        <f t="shared" si="5"/>
        <v>275712</v>
      </c>
      <c r="F14" s="26">
        <f t="shared" si="5"/>
        <v>224001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IF(C14="","",C14*(1-Operation!$D$18))</f>
        <v>58777</v>
      </c>
      <c r="D16" s="136">
        <f>IF(D14="","",D14*(1-Operation!$D$18))</f>
        <v>72006</v>
      </c>
      <c r="E16" s="136">
        <f>IF(E14="","",E14*(1-Operation!$D$18))</f>
        <v>275712</v>
      </c>
      <c r="F16" s="136">
        <f>IF(F14="","",F14*(1-Operation!$D$18))</f>
        <v>224001</v>
      </c>
      <c r="G16" s="136" t="str">
        <f>IF(G14="","",G14*(1-Operation!$D$18))</f>
        <v/>
      </c>
      <c r="H16" s="136" t="str">
        <f>IF(H14="","",H14*(1-Operation!$D$18))</f>
        <v/>
      </c>
      <c r="I16" s="136" t="str">
        <f>IF(I14="","",I14*(1-Operation!$D$18))</f>
        <v/>
      </c>
      <c r="J16" s="136" t="str">
        <f>IF(J14="","",J14*(1-Operation!$D$18))</f>
        <v/>
      </c>
      <c r="K16" s="136" t="str">
        <f>IF(K14="","",K14*(1-Operation!$D$18))</f>
        <v/>
      </c>
      <c r="L16" s="136" t="str">
        <f>IF(L14="","",L14*(1-Operation!$D$18))</f>
        <v/>
      </c>
      <c r="M16" s="223" t="str">
        <f>IF(M14="","",M14*(1-Operation!$D$18))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4.0755265935096111E-2</v>
      </c>
      <c r="D17" s="122">
        <f t="shared" si="7"/>
        <v>4.0700740522180902E-2</v>
      </c>
      <c r="E17" s="122">
        <f t="shared" si="7"/>
        <v>0.16197829338590986</v>
      </c>
      <c r="F17" s="122">
        <f t="shared" si="7"/>
        <v>0.16192039624057217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863</v>
      </c>
      <c r="D18" s="137">
        <v>1613</v>
      </c>
      <c r="E18" s="137">
        <v>2645</v>
      </c>
      <c r="F18" s="137">
        <v>299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64730</v>
      </c>
      <c r="D19" s="34">
        <v>92093</v>
      </c>
      <c r="E19" s="34">
        <v>223781</v>
      </c>
      <c r="F19" s="34">
        <v>185164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3155075</v>
      </c>
      <c r="D21" s="34">
        <v>3103683</v>
      </c>
      <c r="E21" s="34">
        <v>1398268</v>
      </c>
      <c r="F21" s="34">
        <v>1034632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734476</v>
      </c>
      <c r="D22" s="34">
        <v>677999</v>
      </c>
      <c r="E22" s="34">
        <v>1352795</v>
      </c>
      <c r="F22" s="34">
        <v>1205068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6202</v>
      </c>
      <c r="D23" s="34">
        <v>5517</v>
      </c>
      <c r="E23" s="34">
        <v>301783</v>
      </c>
      <c r="F23" s="34">
        <v>3225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6202</v>
      </c>
      <c r="D24" s="133">
        <v>5517</v>
      </c>
      <c r="E24" s="133">
        <v>1783</v>
      </c>
      <c r="F24" s="133">
        <v>3225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10412</v>
      </c>
      <c r="D25" s="34">
        <v>9392</v>
      </c>
      <c r="E25" s="34">
        <v>5096</v>
      </c>
      <c r="F25" s="34">
        <v>6880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10412</v>
      </c>
      <c r="D26" s="133">
        <v>9392</v>
      </c>
      <c r="E26" s="133">
        <v>5096</v>
      </c>
      <c r="F26" s="133">
        <v>6880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16614</v>
      </c>
      <c r="D27" s="26">
        <f t="shared" si="9"/>
        <v>14909</v>
      </c>
      <c r="E27" s="26">
        <f t="shared" si="9"/>
        <v>306879</v>
      </c>
      <c r="F27" s="26">
        <f t="shared" si="9"/>
        <v>10105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2819770</v>
      </c>
      <c r="D28" s="34">
        <v>2735259</v>
      </c>
      <c r="E28" s="34">
        <v>250534</v>
      </c>
      <c r="F28" s="34">
        <v>13930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2812473</v>
      </c>
      <c r="D29" s="133">
        <v>2733761</v>
      </c>
      <c r="E29" s="133">
        <v>247681</v>
      </c>
      <c r="F29" s="133">
        <v>13234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187570</v>
      </c>
      <c r="D30" s="34">
        <v>197933</v>
      </c>
      <c r="E30" s="34">
        <v>172844</v>
      </c>
      <c r="F30" s="34">
        <v>159191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1335766</v>
      </c>
      <c r="D31" s="34">
        <v>2558156</v>
      </c>
      <c r="E31" s="34">
        <v>884766</v>
      </c>
      <c r="F31" s="34">
        <v>511035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-27988.032799999997</v>
      </c>
      <c r="D33" s="228">
        <f>IF(E7="","",(D7-E7)*Asset_Model!$D$65)</f>
        <v>5735.4567999999999</v>
      </c>
      <c r="E33" s="228">
        <f>IF(F7="","",(E7-F7)*Asset_Model!$D$65)</f>
        <v>27285.171199999997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-38351.032800000001</v>
      </c>
      <c r="D34" s="136">
        <f t="shared" si="11"/>
        <v>30824.4568</v>
      </c>
      <c r="E34" s="136">
        <f t="shared" si="11"/>
        <v>40938.171199999997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329</v>
      </c>
      <c r="C35" s="219">
        <f t="shared" ref="C35:M35" si="12">IF(C34="","",C34/C16)</f>
        <v>-0.65248367218469816</v>
      </c>
      <c r="D35" s="219">
        <f t="shared" si="12"/>
        <v>0.42808178207371606</v>
      </c>
      <c r="E35" s="219">
        <f t="shared" si="12"/>
        <v>0.14848164461467037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96133</v>
      </c>
      <c r="D37" s="158">
        <v>58667</v>
      </c>
      <c r="E37" s="158">
        <v>221311</v>
      </c>
      <c r="F37" s="158">
        <v>220950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7.209992765422174E-2</v>
      </c>
      <c r="D39" s="163">
        <f t="shared" si="13"/>
        <v>4.4000358416883142E-2</v>
      </c>
      <c r="E39" s="163">
        <f t="shared" si="13"/>
        <v>0.16598365898373574</v>
      </c>
      <c r="F39" s="163">
        <f t="shared" si="13"/>
        <v>0.16571290831660609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3.6924997428868312E-3</v>
      </c>
      <c r="D42" s="47">
        <f t="shared" ref="D42:M42" si="15">IF(D29="","",D25/D29)</f>
        <v>3.4355600215234617E-3</v>
      </c>
      <c r="E42" s="47">
        <f t="shared" si="15"/>
        <v>2.0574852330215075E-2</v>
      </c>
      <c r="F42" s="47">
        <f t="shared" si="15"/>
        <v>0.51987305425419372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5.9072567096644128E-3</v>
      </c>
      <c r="D43" s="14">
        <f t="shared" si="16"/>
        <v>5.4536588970286719E-3</v>
      </c>
      <c r="E43" s="14">
        <f t="shared" si="16"/>
        <v>1.2390090479285856</v>
      </c>
      <c r="F43" s="14">
        <f t="shared" si="16"/>
        <v>0.76356354843584706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3.5377994462501503</v>
      </c>
      <c r="D44" s="49">
        <f t="shared" si="17"/>
        <v>4.8297001810986648</v>
      </c>
      <c r="E44" s="49">
        <f t="shared" si="17"/>
        <v>0.89843879835374851</v>
      </c>
      <c r="F44" s="49">
        <f t="shared" si="17"/>
        <v>22.167342899554676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1.4682613947632577E-2</v>
      </c>
      <c r="D45" s="14">
        <f t="shared" si="18"/>
        <v>2.2400911035191512E-2</v>
      </c>
      <c r="E45" s="14">
        <f t="shared" si="18"/>
        <v>9.5933437790157849E-3</v>
      </c>
      <c r="F45" s="14">
        <f t="shared" si="18"/>
        <v>1.3348154695737966E-3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4.2956815471165841</v>
      </c>
      <c r="D46" s="50">
        <f t="shared" si="19"/>
        <v>4.5777102916081001</v>
      </c>
      <c r="E46" s="50">
        <f t="shared" si="19"/>
        <v>1.0336141100462377</v>
      </c>
      <c r="F46" s="50">
        <f t="shared" si="19"/>
        <v>0.85856731736300362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323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324</v>
      </c>
      <c r="C48" s="354">
        <f>C13</f>
        <v>4.0755265935096111E-2</v>
      </c>
      <c r="D48" s="354">
        <f>D13</f>
        <v>4.0700740522180902E-2</v>
      </c>
      <c r="E48" s="354">
        <f t="shared" ref="E48:M48" si="20">E13</f>
        <v>0.16197829338590986</v>
      </c>
      <c r="F48" s="354">
        <f t="shared" si="20"/>
        <v>0.16192039624057217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325</v>
      </c>
      <c r="C49" s="352">
        <f>C7/(C29+C21+C22)</f>
        <v>0.21518782982573623</v>
      </c>
      <c r="D49" s="352">
        <f>IF(D7="","",D7/(D29+D21+D22))</f>
        <v>0.27153287965223549</v>
      </c>
      <c r="E49" s="352">
        <f t="shared" ref="E49:M49" si="21">IF(E7="","",E7/(E29+E21+E22))</f>
        <v>0.56762231120762563</v>
      </c>
      <c r="F49" s="352">
        <f t="shared" si="21"/>
        <v>0.61404461914996178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326</v>
      </c>
      <c r="C50" s="353">
        <f>(C29+C21+C22)/C29</f>
        <v>2.3829647431282006</v>
      </c>
      <c r="D50" s="353">
        <f>IF(D29="","",(D29+D21+D22)/D29)</f>
        <v>2.3833257552507332</v>
      </c>
      <c r="E50" s="353">
        <f t="shared" ref="E50:M50" si="22">IF(E29="","",(E29+E21+E22)/E29)</f>
        <v>12.107283158578978</v>
      </c>
      <c r="F50" s="353">
        <f t="shared" si="22"/>
        <v>170.23832552516245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327</v>
      </c>
      <c r="C51" s="356">
        <f>C48*C49*C50</f>
        <v>2.0898689516308248E-2</v>
      </c>
      <c r="D51" s="356">
        <f>IF(D48="","",D48*D49*D50)</f>
        <v>2.6339537362629725E-2</v>
      </c>
      <c r="E51" s="356">
        <f t="shared" ref="E51:M51" si="23">IF(E48="","",E48*E49*E50)</f>
        <v>1.1131738001703806</v>
      </c>
      <c r="F51" s="356">
        <f t="shared" si="23"/>
        <v>16.926175003778148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328</v>
      </c>
      <c r="C52" s="355">
        <f>C35*C51</f>
        <v>-1.3636053679448659E-2</v>
      </c>
      <c r="D52" s="355">
        <f>IF(D35="","",D35*D51)</f>
        <v>1.1275476093191759E-2</v>
      </c>
      <c r="E52" s="355">
        <f t="shared" ref="E52:M52" si="24">IF(E35="","",E35*E51)</f>
        <v>0.16528587659126054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2819770</v>
      </c>
      <c r="E3" s="149" t="str">
        <f>IF((C46-I46)=D3,"", "Error!")</f>
        <v/>
      </c>
      <c r="F3" s="6"/>
      <c r="G3" s="6"/>
      <c r="H3" s="250" t="s">
        <v>239</v>
      </c>
      <c r="I3" s="251">
        <v>2812473</v>
      </c>
      <c r="K3" s="72"/>
    </row>
    <row r="4" spans="1:11" ht="15" customHeight="1">
      <c r="B4" s="5" t="s">
        <v>213</v>
      </c>
      <c r="C4" s="6"/>
      <c r="D4" s="252">
        <f>D3-I3</f>
        <v>7297</v>
      </c>
      <c r="E4" s="143"/>
      <c r="F4" s="6"/>
      <c r="G4" s="6"/>
      <c r="H4" s="59" t="s">
        <v>80</v>
      </c>
      <c r="I4" s="87">
        <f>(I3*Dashboard!I12*Data!C4)/Dashboard!I5</f>
        <v>2.301144989158737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361</v>
      </c>
      <c r="C6" s="6"/>
      <c r="D6" s="58">
        <f>E46-I46-E50</f>
        <v>1966624.7000000002</v>
      </c>
      <c r="E6" s="14">
        <f>1-D6/D3</f>
        <v>0.30255847108097467</v>
      </c>
      <c r="F6" s="6"/>
      <c r="G6" s="6"/>
      <c r="H6" s="3" t="s">
        <v>281</v>
      </c>
      <c r="I6" s="68">
        <f>C26/I26</f>
        <v>4.2956815471165841</v>
      </c>
      <c r="J6" s="6"/>
      <c r="K6" s="72"/>
    </row>
    <row r="7" spans="1:11" ht="15" customHeight="1" thickBot="1">
      <c r="B7" s="52" t="s">
        <v>362</v>
      </c>
      <c r="D7" s="60">
        <f>MAX((D6*Exchange_Rate*Data!C4)/Common_Shares, 0)</f>
        <v>1.6090780512242446</v>
      </c>
      <c r="E7" s="48" t="str">
        <f>Dashboard!J4</f>
        <v>HKD</v>
      </c>
      <c r="H7" s="3" t="s">
        <v>282</v>
      </c>
      <c r="I7" s="68">
        <f>C25/I26</f>
        <v>3.8517555372810004</v>
      </c>
      <c r="J7" s="6"/>
      <c r="K7" s="112"/>
    </row>
    <row r="8" spans="1:11" ht="15" customHeight="1">
      <c r="D8" s="6"/>
      <c r="H8" s="3" t="s">
        <v>283</v>
      </c>
      <c r="I8" s="68">
        <f>C24/I26</f>
        <v>3.2124752885050021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330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903500</v>
      </c>
      <c r="D11" s="64">
        <v>1</v>
      </c>
      <c r="E11" s="26">
        <f t="shared" ref="E11:E21" si="0">C11*D11</f>
        <v>903500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1455986</v>
      </c>
      <c r="D12" s="64">
        <v>0.95</v>
      </c>
      <c r="E12" s="26">
        <f t="shared" si="0"/>
        <v>1383186.7</v>
      </c>
      <c r="F12" s="6"/>
      <c r="G12" s="6"/>
      <c r="H12" s="5" t="s">
        <v>90</v>
      </c>
      <c r="I12" s="63">
        <v>6202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0</v>
      </c>
      <c r="D14" s="64">
        <v>0.85</v>
      </c>
      <c r="E14" s="26">
        <f t="shared" si="0"/>
        <v>0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357910</v>
      </c>
      <c r="D15" s="64">
        <v>0.3</v>
      </c>
      <c r="E15" s="26">
        <f t="shared" si="0"/>
        <v>107373</v>
      </c>
      <c r="G15" s="6"/>
      <c r="H15" s="5" t="s">
        <v>96</v>
      </c>
      <c r="I15" s="148">
        <f>I26-SUM(I11:I14)</f>
        <v>728274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111626</v>
      </c>
      <c r="D17" s="64">
        <v>0.4</v>
      </c>
      <c r="E17" s="26">
        <f t="shared" si="0"/>
        <v>44650.400000000001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319177</v>
      </c>
      <c r="D18" s="64">
        <v>0.2</v>
      </c>
      <c r="E18" s="26">
        <f t="shared" si="0"/>
        <v>63835.4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6876</v>
      </c>
      <c r="D21" s="64">
        <v>0.95</v>
      </c>
      <c r="E21" s="26">
        <f t="shared" si="0"/>
        <v>6532.2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2359486</v>
      </c>
      <c r="D24" s="67">
        <f>IF(E24=0,0,E24/C24)</f>
        <v>0.96914611911238302</v>
      </c>
      <c r="E24" s="26">
        <f>SUM(E11:E14)</f>
        <v>2286686.7000000002</v>
      </c>
      <c r="F24" s="6"/>
      <c r="G24" s="6"/>
      <c r="H24" s="65" t="s">
        <v>284</v>
      </c>
      <c r="I24" s="68">
        <f>E24/($I$26-I15)</f>
        <v>368.70149951628508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2829022</v>
      </c>
      <c r="D25" s="67">
        <f>IF(E25=0,0,E25/C25)</f>
        <v>0.86203292162450484</v>
      </c>
      <c r="E25" s="26">
        <f>E24+SUM(E15:E17)</f>
        <v>2438710.1</v>
      </c>
      <c r="F25" s="6"/>
      <c r="G25" s="6"/>
      <c r="H25" s="65" t="s">
        <v>288</v>
      </c>
      <c r="I25" s="68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3155075</v>
      </c>
      <c r="D26" s="14">
        <f t="shared" ref="D26" si="2">E26/C26</f>
        <v>0.79525136486454373</v>
      </c>
      <c r="E26" s="26">
        <f>SUM(E11:E22)</f>
        <v>2509077.7000000002</v>
      </c>
      <c r="H26" s="5" t="s">
        <v>56</v>
      </c>
      <c r="I26" s="63">
        <v>734476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146031</v>
      </c>
      <c r="D29" s="64">
        <v>0.5</v>
      </c>
      <c r="E29" s="26">
        <f t="shared" ref="E29:E40" si="3">C29*D29</f>
        <v>73015.5</v>
      </c>
      <c r="F29" s="6"/>
      <c r="G29" s="6"/>
      <c r="H29" s="5" t="s">
        <v>109</v>
      </c>
      <c r="I29" s="63">
        <v>10412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8270</v>
      </c>
      <c r="J32" s="6"/>
    </row>
    <row r="33" spans="2:10" ht="14">
      <c r="B33" s="5" t="s">
        <v>115</v>
      </c>
      <c r="C33" s="63">
        <v>0</v>
      </c>
      <c r="D33" s="64">
        <v>0.6</v>
      </c>
      <c r="E33" s="208">
        <f t="shared" si="3"/>
        <v>0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0</v>
      </c>
      <c r="D34" s="64">
        <v>0.7</v>
      </c>
      <c r="E34" s="208">
        <f t="shared" si="3"/>
        <v>0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188188</v>
      </c>
      <c r="D36" s="64">
        <v>0.4</v>
      </c>
      <c r="E36" s="26">
        <f t="shared" si="3"/>
        <v>75275.199999999997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11645</v>
      </c>
      <c r="D38" s="64">
        <v>0.4</v>
      </c>
      <c r="E38" s="26">
        <f t="shared" si="3"/>
        <v>4658</v>
      </c>
      <c r="F38" s="6"/>
      <c r="G38" s="6"/>
    </row>
    <row r="39" spans="2:10" ht="15" customHeight="1">
      <c r="B39" s="5" t="s">
        <v>118</v>
      </c>
      <c r="C39" s="63">
        <v>68064</v>
      </c>
      <c r="D39" s="64">
        <v>0.95</v>
      </c>
      <c r="E39" s="26">
        <f t="shared" si="3"/>
        <v>64660.799999999996</v>
      </c>
      <c r="F39" s="6"/>
      <c r="G39" s="6"/>
    </row>
    <row r="40" spans="2:10" ht="15" customHeight="1">
      <c r="B40" s="5" t="s">
        <v>119</v>
      </c>
      <c r="C40" s="63">
        <v>3925</v>
      </c>
      <c r="D40" s="64">
        <v>0.1</v>
      </c>
      <c r="E40" s="26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417853</v>
      </c>
      <c r="D42" s="14">
        <f>E42/C42</f>
        <v>0.52171936063639601</v>
      </c>
      <c r="E42" s="26">
        <f>SUM(E28:E40)</f>
        <v>218002</v>
      </c>
      <c r="F42" s="6"/>
      <c r="G42" s="6"/>
      <c r="H42" s="5" t="s">
        <v>121</v>
      </c>
      <c r="I42" s="63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2505517</v>
      </c>
      <c r="D44" s="67">
        <f>IF(E44=0,0,E44/C44)</f>
        <v>0.94180251022044559</v>
      </c>
      <c r="E44" s="26">
        <f>E24+SUM(E28:E29)</f>
        <v>2359702.2000000002</v>
      </c>
      <c r="F44" s="6"/>
      <c r="G44" s="6"/>
      <c r="H44" s="65" t="s">
        <v>285</v>
      </c>
      <c r="I44" s="68">
        <f>E44/(I46-I15-I32)</f>
        <v>142.03094980137234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2975053</v>
      </c>
      <c r="D45" s="67">
        <f>IF(E45=0,0,E45/C45)</f>
        <v>0.84426247196268445</v>
      </c>
      <c r="E45" s="26">
        <f>E44+(E25-E24)+SUM(E30:E33)</f>
        <v>2511725.6</v>
      </c>
      <c r="F45" s="6"/>
      <c r="G45" s="6"/>
      <c r="H45" s="65" t="s">
        <v>289</v>
      </c>
      <c r="I45" s="68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3572928</v>
      </c>
      <c r="D46" s="14">
        <f>E46/C46</f>
        <v>0.76326186813728125</v>
      </c>
      <c r="E46" s="26">
        <f>E26+E42</f>
        <v>2727079.7</v>
      </c>
      <c r="F46" s="6"/>
      <c r="G46" s="6"/>
      <c r="H46" s="5" t="s">
        <v>286</v>
      </c>
      <c r="I46" s="148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7297</v>
      </c>
      <c r="D50" s="202">
        <f>IF(E50=0, 0,E50/C50)</f>
        <v>1</v>
      </c>
      <c r="E50" s="206">
        <f>MAX(C50,C50*Dashboard!I10)</f>
        <v>7297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6">
        <f>D53+D54+D55</f>
        <v>16614</v>
      </c>
      <c r="E52" s="477"/>
      <c r="F52" s="52"/>
      <c r="G52" s="52"/>
    </row>
    <row r="53" spans="2:9" ht="14.5" thickTop="1">
      <c r="B53" s="57" t="s">
        <v>218</v>
      </c>
      <c r="C53" s="6"/>
      <c r="D53" s="479">
        <f>SUM(I11:I13)+SUM(I28:I30)</f>
        <v>16614</v>
      </c>
      <c r="E53" s="398"/>
      <c r="F53" s="5"/>
      <c r="G53" s="5"/>
      <c r="H53" s="3" t="s">
        <v>287</v>
      </c>
      <c r="I53" s="14">
        <f>D53/I3</f>
        <v>5.9072567096644128E-3</v>
      </c>
    </row>
    <row r="54" spans="2:9" ht="14">
      <c r="B54" s="57" t="s">
        <v>127</v>
      </c>
      <c r="C54" s="6"/>
      <c r="D54" s="486">
        <v>0</v>
      </c>
      <c r="E54" s="393"/>
      <c r="F54" s="6" t="s">
        <v>128</v>
      </c>
      <c r="G54" s="6"/>
    </row>
    <row r="55" spans="2:9" ht="12.75" customHeight="1">
      <c r="B55" s="57" t="s">
        <v>126</v>
      </c>
      <c r="C55" s="6"/>
      <c r="D55" s="486">
        <v>0</v>
      </c>
      <c r="E55" s="393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8"/>
      <c r="E57" s="478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503941</v>
      </c>
      <c r="D58" s="122">
        <f>IF(E58=0,0,E58/C58)</f>
        <v>0.35795559400802873</v>
      </c>
      <c r="E58" s="209">
        <f>E14+E15+(E19*G19)+(E20*G20)+E29+E30+(E31*G31)+(E33*G33)+(E34*G34)+(E35*G35)</f>
        <v>180388.5</v>
      </c>
      <c r="H58" s="6"/>
    </row>
    <row r="59" spans="2:9" ht="14">
      <c r="B59" s="52" t="s">
        <v>87</v>
      </c>
      <c r="C59" s="201">
        <f>C11+C12+C28</f>
        <v>2359486</v>
      </c>
      <c r="D59" s="202">
        <f>IF(E59=0,0,E59/C59)</f>
        <v>0.96914611911238302</v>
      </c>
      <c r="E59" s="203">
        <f>E11+E12+E28</f>
        <v>2286686.7000000002</v>
      </c>
      <c r="F59" s="6"/>
      <c r="G59" s="6"/>
    </row>
    <row r="60" spans="2:9" ht="14">
      <c r="B60" s="52" t="s">
        <v>131</v>
      </c>
      <c r="C60" s="6"/>
      <c r="D60" s="484">
        <f>((Dashboard!I6*Data!C4)+D52+E50-C58-C59)</f>
        <v>-439521.91360000009</v>
      </c>
      <c r="E60" s="485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2">
        <f>((C26-C11-C12-C14-C15-C16*G16-C19*G19-C20*G20)-I26)/Data!C7</f>
        <v>-0.20579547550468244</v>
      </c>
      <c r="E63" s="483"/>
    </row>
    <row r="64" spans="2:9" ht="15" customHeight="1">
      <c r="B64" s="3" t="s">
        <v>245</v>
      </c>
      <c r="D64" s="480">
        <v>8.5599999999999996E-2</v>
      </c>
      <c r="E64" s="481"/>
      <c r="F64" s="242" t="s">
        <v>231</v>
      </c>
    </row>
    <row r="65" spans="2:5" ht="15" customHeight="1">
      <c r="B65" s="263" t="s">
        <v>247</v>
      </c>
      <c r="D65" s="480">
        <v>8.5599999999999996E-2</v>
      </c>
      <c r="E65" s="48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6" sqref="C1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1000CNY)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 t="str">
        <f>IF(G9="","",EOMONTH(EDATE(E3,12),0))</f>
        <v/>
      </c>
      <c r="H3" s="27"/>
      <c r="I3" s="253" t="str">
        <f>IF(I16="","",EOMONTH(EDATE(G3,12),0))</f>
        <v/>
      </c>
      <c r="J3" s="268"/>
      <c r="L3" s="70" t="s">
        <v>132</v>
      </c>
    </row>
    <row r="4" spans="1:13" ht="15.75" customHeight="1">
      <c r="B4" s="264" t="s">
        <v>331</v>
      </c>
      <c r="C4" s="265">
        <v>1296901</v>
      </c>
      <c r="D4" s="236">
        <f>C4/$C$8</f>
        <v>0.89925557865307992</v>
      </c>
      <c r="E4" s="265"/>
      <c r="F4" s="236"/>
      <c r="G4" s="388"/>
      <c r="H4" s="236"/>
      <c r="I4" s="388"/>
      <c r="J4" s="258"/>
      <c r="K4" s="6"/>
      <c r="L4" s="72"/>
      <c r="M4" s="56"/>
    </row>
    <row r="5" spans="1:13" ht="15.75" customHeight="1">
      <c r="B5" s="264" t="s">
        <v>332</v>
      </c>
      <c r="C5" s="265">
        <v>64283</v>
      </c>
      <c r="D5" s="236">
        <f t="shared" ref="D5:D7" si="0">C5/$C$8</f>
        <v>4.4573060212426345E-2</v>
      </c>
      <c r="E5" s="265"/>
      <c r="F5" s="236"/>
      <c r="G5" s="388"/>
      <c r="H5" s="236"/>
      <c r="I5" s="388"/>
      <c r="J5" s="258"/>
      <c r="K5" s="6"/>
      <c r="L5" s="72"/>
      <c r="M5" s="56"/>
    </row>
    <row r="6" spans="1:13" ht="15.75" customHeight="1">
      <c r="B6" s="264" t="s">
        <v>333</v>
      </c>
      <c r="C6" s="265">
        <v>76943</v>
      </c>
      <c r="D6" s="236">
        <f t="shared" si="0"/>
        <v>5.3351352175920852E-2</v>
      </c>
      <c r="E6" s="265"/>
      <c r="F6" s="236"/>
      <c r="G6" s="388"/>
      <c r="H6" s="236"/>
      <c r="I6" s="388"/>
      <c r="J6" s="258"/>
      <c r="K6" s="6"/>
      <c r="L6" s="72"/>
      <c r="M6" s="56"/>
    </row>
    <row r="7" spans="1:13" ht="15.75" customHeight="1">
      <c r="B7" s="264" t="s">
        <v>334</v>
      </c>
      <c r="C7" s="265">
        <v>4067</v>
      </c>
      <c r="D7" s="236">
        <f t="shared" si="0"/>
        <v>2.820008958572841E-3</v>
      </c>
      <c r="E7" s="265"/>
      <c r="F7" s="236"/>
      <c r="G7" s="388"/>
      <c r="H7" s="236"/>
      <c r="I7" s="388"/>
      <c r="J7" s="258"/>
      <c r="K7" s="6"/>
      <c r="L7" s="72"/>
      <c r="M7" s="56"/>
    </row>
    <row r="8" spans="1:13" ht="15.75" customHeight="1">
      <c r="B8" s="5" t="s">
        <v>134</v>
      </c>
      <c r="C8" s="173">
        <f>SUM(C4:C7)</f>
        <v>1442194</v>
      </c>
      <c r="D8" s="235"/>
      <c r="E8" s="305">
        <f>C8*(1+10%*0.8)</f>
        <v>1557569.52</v>
      </c>
      <c r="F8" s="235"/>
      <c r="G8" s="305"/>
      <c r="H8" s="235"/>
      <c r="I8" s="215"/>
      <c r="J8" s="259"/>
      <c r="K8" s="6"/>
      <c r="L8" s="72" t="s">
        <v>379</v>
      </c>
      <c r="M8" s="56"/>
    </row>
    <row r="9" spans="1:13" ht="15.75" customHeight="1">
      <c r="B9" s="17" t="s">
        <v>133</v>
      </c>
      <c r="C9" s="237">
        <f>Data!C8</f>
        <v>-0.18481287980659711</v>
      </c>
      <c r="D9" s="237"/>
      <c r="E9" s="18">
        <f>E8/C8-1</f>
        <v>8.0000000000000071E-2</v>
      </c>
      <c r="F9" s="237"/>
      <c r="G9" s="18"/>
      <c r="H9" s="237"/>
      <c r="I9" s="71"/>
      <c r="J9" s="295"/>
      <c r="K9" s="6"/>
      <c r="L9" s="72"/>
      <c r="M9" s="56"/>
    </row>
    <row r="10" spans="1:13" ht="15.75" customHeight="1">
      <c r="B10" s="8" t="s">
        <v>135</v>
      </c>
      <c r="C10" s="174">
        <f>Data!C9</f>
        <v>842386</v>
      </c>
      <c r="D10" s="238"/>
      <c r="E10" s="214">
        <f>E8*(1-E11)</f>
        <v>909776.88</v>
      </c>
      <c r="F10" s="238"/>
      <c r="G10" s="256" t="str">
        <f>IF(G8="","",G8*(1-G11))</f>
        <v/>
      </c>
      <c r="H10" s="238"/>
      <c r="I10" s="256" t="str">
        <f>IF(I8="","",I8*(1-I11))</f>
        <v/>
      </c>
      <c r="J10" s="296"/>
      <c r="K10" s="6"/>
      <c r="L10" s="112"/>
      <c r="M10" s="1"/>
    </row>
    <row r="11" spans="1:13" ht="15.75" customHeight="1">
      <c r="B11" s="17" t="s">
        <v>46</v>
      </c>
      <c r="C11" s="179">
        <f>(C8-C10)/C8</f>
        <v>0.41589966398417966</v>
      </c>
      <c r="D11" s="179"/>
      <c r="E11" s="71">
        <f>C11</f>
        <v>0.41589966398417966</v>
      </c>
      <c r="F11" s="179"/>
      <c r="G11" s="71"/>
      <c r="H11" s="179"/>
      <c r="I11" s="71"/>
      <c r="J11" s="297"/>
      <c r="K11" s="6"/>
      <c r="L11" s="72"/>
    </row>
    <row r="12" spans="1:13" ht="15.75" customHeight="1">
      <c r="B12" s="5" t="s">
        <v>136</v>
      </c>
      <c r="C12" s="26">
        <f>C8-C10</f>
        <v>599808</v>
      </c>
      <c r="D12" s="26"/>
      <c r="E12" s="26">
        <f>E8-E10</f>
        <v>647792.64000000001</v>
      </c>
      <c r="F12" s="26"/>
      <c r="G12" s="26" t="str">
        <f>IF(G9="","",G8-G10)</f>
        <v/>
      </c>
      <c r="H12" s="26"/>
      <c r="I12" s="26" t="str">
        <f>IF(I9="","",I8-I10)</f>
        <v/>
      </c>
      <c r="J12" s="222"/>
      <c r="K12" s="6"/>
      <c r="L12" s="72"/>
    </row>
    <row r="13" spans="1:13" ht="15.75" customHeight="1">
      <c r="B13" s="17" t="s">
        <v>48</v>
      </c>
      <c r="C13" s="180">
        <f>C14/C8</f>
        <v>0.41535119408345894</v>
      </c>
      <c r="D13" s="180"/>
      <c r="E13" s="213">
        <f>C13</f>
        <v>0.41535119408345894</v>
      </c>
      <c r="F13" s="180"/>
      <c r="G13" s="64"/>
      <c r="H13" s="180"/>
      <c r="I13" s="64"/>
      <c r="J13" s="298"/>
      <c r="K13" s="6"/>
      <c r="L13" s="72" t="s">
        <v>380</v>
      </c>
    </row>
    <row r="14" spans="1:13" ht="15.75" customHeight="1">
      <c r="B14" s="8" t="s">
        <v>137</v>
      </c>
      <c r="C14" s="176">
        <f>435254+163763</f>
        <v>599017</v>
      </c>
      <c r="D14" s="239"/>
      <c r="E14" s="74">
        <f>E8*E13</f>
        <v>646938.36</v>
      </c>
      <c r="F14" s="239"/>
      <c r="G14" s="74"/>
      <c r="H14" s="239"/>
      <c r="I14" s="74"/>
      <c r="J14" s="299"/>
      <c r="K14" s="6"/>
      <c r="L14" s="72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5.4846990072072543E-4</v>
      </c>
      <c r="F15" s="18"/>
      <c r="G15" s="18" t="str">
        <f>IF(G9="","",G17/G8)</f>
        <v/>
      </c>
      <c r="H15" s="18"/>
      <c r="I15" s="18" t="str">
        <f>IF(I9="","",I17/I8)</f>
        <v/>
      </c>
      <c r="J15" s="216"/>
      <c r="K15" s="6"/>
      <c r="L15" s="72"/>
      <c r="M15" s="56"/>
    </row>
    <row r="16" spans="1:13" ht="15.75" customHeight="1">
      <c r="B16" s="17" t="s">
        <v>138</v>
      </c>
      <c r="C16" s="240">
        <f>Data!C15</f>
        <v>-0.18372080104435742</v>
      </c>
      <c r="D16" s="240"/>
      <c r="E16" s="14">
        <f>IF(ABS(C17+E17)=ABS(C17)+ABS(E17),IF(E17&lt;0,-1,1)*(E17-C17)/C17,"Turn")</f>
        <v>8.0000000000035321E-2</v>
      </c>
      <c r="F16" s="240"/>
      <c r="G16" s="14" t="str">
        <f>IF(G9="","",IF(ABS(E17+G17)=ABS(E17)+ABS(G17),IF(G17&lt;0,-1,1)*(G17-E17)/E17,"Turn"))</f>
        <v/>
      </c>
      <c r="H16" s="240"/>
      <c r="I16" s="14" t="str">
        <f>IF(I9="","",IF(ABS(G17+I17)=ABS(G17)+ABS(I17),IF(I17&lt;0,-1,1)*(I17-G17)/G17,"Turn"))</f>
        <v/>
      </c>
      <c r="J16" s="300"/>
      <c r="K16" s="6"/>
      <c r="L16" s="75"/>
      <c r="M16" s="76"/>
    </row>
    <row r="17" spans="2:13" ht="15.75" customHeight="1">
      <c r="B17" s="127" t="s">
        <v>228</v>
      </c>
      <c r="C17" s="287">
        <f>C12-C14</f>
        <v>791</v>
      </c>
      <c r="D17" s="288"/>
      <c r="E17" s="287">
        <f>E12-E14</f>
        <v>854.28000000002794</v>
      </c>
      <c r="F17" s="288"/>
      <c r="G17" s="287" t="str">
        <f>IF(G9="","",G12-G14)</f>
        <v/>
      </c>
      <c r="H17" s="288"/>
      <c r="I17" s="287" t="str">
        <f>IF(I9="","",I12-I14)</f>
        <v/>
      </c>
      <c r="J17" s="301"/>
      <c r="K17" s="6"/>
      <c r="L17" s="77"/>
      <c r="M17" s="55"/>
    </row>
    <row r="18" spans="2:13" ht="15.75" customHeight="1">
      <c r="B18" s="283" t="s">
        <v>139</v>
      </c>
      <c r="C18" s="284">
        <v>0.25</v>
      </c>
      <c r="D18" s="285"/>
      <c r="E18" s="286">
        <f>IF(E17="","",C18)</f>
        <v>0.25</v>
      </c>
      <c r="F18" s="286"/>
      <c r="G18" s="286" t="str">
        <f>IF(G17="","",E18)</f>
        <v/>
      </c>
      <c r="H18" s="286"/>
      <c r="I18" s="286" t="str">
        <f>IF(I17="","",G18)</f>
        <v/>
      </c>
      <c r="J18" s="302"/>
      <c r="L18" s="72"/>
    </row>
    <row r="19" spans="2:13" ht="15.75" customHeight="1">
      <c r="B19" s="292" t="s">
        <v>278</v>
      </c>
      <c r="C19" s="240">
        <f>C20/C10</f>
        <v>7.0424959579100312E-4</v>
      </c>
      <c r="D19" s="294"/>
      <c r="E19" s="293">
        <f>E20/E10</f>
        <v>7.0424959579102621E-4</v>
      </c>
      <c r="F19" s="293"/>
      <c r="G19" s="293" t="str">
        <f>IF(G10="","",G20/G10)</f>
        <v/>
      </c>
      <c r="H19" s="293"/>
      <c r="I19" s="293" t="str">
        <f>IF(I10="","",I20/I10)</f>
        <v/>
      </c>
      <c r="J19" s="303"/>
    </row>
    <row r="20" spans="2:13" ht="15.75" customHeight="1">
      <c r="B20" s="289" t="s">
        <v>78</v>
      </c>
      <c r="C20" s="290">
        <f>IF(C17&lt;=0,C17,C17*(1-C18))</f>
        <v>593.25</v>
      </c>
      <c r="D20" s="290"/>
      <c r="E20" s="291">
        <f>IF(E17="","",IF(E17&lt;=0,E17,E17*(1-E18)))</f>
        <v>640.71000000002095</v>
      </c>
      <c r="F20" s="290"/>
      <c r="G20" s="291" t="str">
        <f>IF(G17="","",IF(G17&lt;=0,G17,G17*(1-G18)))</f>
        <v/>
      </c>
      <c r="H20" s="290"/>
      <c r="I20" s="291" t="str">
        <f>IF(I17="","",IF(I17&lt;=0,I17,I17*(1-I18)))</f>
        <v/>
      </c>
      <c r="J20" s="304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7" priority="2">
      <formula>LEN(TRIM(E18))=0</formula>
    </cfRule>
  </conditionalFormatting>
  <conditionalFormatting sqref="G20 I20">
    <cfRule type="containsBlanks" dxfId="6" priority="4">
      <formula>LEN(TRIM(G20))=0</formula>
    </cfRule>
  </conditionalFormatting>
  <conditionalFormatting sqref="G10:H13 H14 G15:H17">
    <cfRule type="containsBlanks" dxfId="5" priority="10">
      <formula>LEN(TRIM(G10))=0</formula>
    </cfRule>
  </conditionalFormatting>
  <conditionalFormatting sqref="H9 G10:H13 H14 G15:H17">
    <cfRule type="containsBlanks" priority="11">
      <formula>LEN(TRIM(G9))=0</formula>
    </cfRule>
  </conditionalFormatting>
  <conditionalFormatting sqref="H9:J9 G10:J20">
    <cfRule type="containsBlanks" dxfId="4" priority="1">
      <formula>LEN(TRIM(G9))=0</formula>
    </cfRule>
  </conditionalFormatting>
  <conditionalFormatting sqref="I9:J17">
    <cfRule type="containsBlanks" dxfId="3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abSelected="1" topLeftCell="A16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336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1</v>
      </c>
      <c r="H2" s="12"/>
      <c r="I2" s="12"/>
    </row>
    <row r="3" spans="1:10" ht="15.75" customHeight="1">
      <c r="B3" s="28" t="str">
        <f>"(Numbers in "&amp;Data!C4&amp;Dashboard!I11&amp;")"</f>
        <v>(Numbers in 1000CNY)</v>
      </c>
      <c r="C3" s="253">
        <f>Operation!C3</f>
        <v>44926</v>
      </c>
      <c r="D3" s="253">
        <f>Operation!E3</f>
        <v>45291</v>
      </c>
      <c r="E3" s="253" t="str">
        <f>Operation!G3</f>
        <v/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Operation!C20</f>
        <v>593.25</v>
      </c>
      <c r="D4" s="44">
        <f>Operation!E20</f>
        <v>640.71000000002095</v>
      </c>
      <c r="E4" s="44" t="str">
        <f>Operation!G20</f>
        <v/>
      </c>
      <c r="F4" s="192" t="str">
        <f>Operation!I20</f>
        <v/>
      </c>
      <c r="G4" s="273">
        <f>IF(F3="",IF(E3="",1,2),3)</f>
        <v>1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8.0000000000035376E-2</v>
      </c>
      <c r="E5" s="234" t="str">
        <f>IF(E4="","",E4/D4-1)</f>
        <v/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/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177.97499999999999</v>
      </c>
      <c r="D7" s="278">
        <f>D4*D6</f>
        <v>192.21300000000628</v>
      </c>
      <c r="E7" s="279"/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415.27499999999998</v>
      </c>
      <c r="D8" s="182">
        <f>D4-D7</f>
        <v>448.49700000001468</v>
      </c>
      <c r="E8" s="182" t="str">
        <f>IF(E4="","",E4-E7)</f>
        <v/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3.1145701743009096E-4</v>
      </c>
      <c r="D9" s="275">
        <f>D8/(Common_Shares/Data!$C$4)</f>
        <v>3.3637357882450926E-4</v>
      </c>
      <c r="E9" s="275" t="str">
        <f>IF(E8="","",E8/(Common_Shares/Data!$C$4))</f>
        <v/>
      </c>
      <c r="F9" s="275" t="str">
        <f>IF(F8="","",F8/(Common_Shares/Data!$C$4))</f>
        <v/>
      </c>
      <c r="G9" s="381">
        <f>IF(F4="",IF(E4="",D8,E8),F8)*Data!C$4/Dashboard!I5</f>
        <v>3.3637357882450921E-4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0.08</v>
      </c>
      <c r="E10" s="18" t="str">
        <f>IF(E4="","",D10)</f>
        <v/>
      </c>
      <c r="F10" s="18" t="str">
        <f>IF(F4="","",D10)</f>
        <v/>
      </c>
      <c r="G10" s="379">
        <f ca="1">Dashboard!C12</f>
        <v>0.08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1.08</v>
      </c>
      <c r="E11" s="212" t="str">
        <f>IF(E4="","",(1+D10)*(1+E10))</f>
        <v/>
      </c>
      <c r="F11" s="212" t="str">
        <f>IF(F4="","",(1+D10)*(1+E10)*(1+F10))</f>
        <v/>
      </c>
      <c r="G11" s="382">
        <f ca="1">IF(F4="",IF(E4="",D11,E11),F11)*(1+G10)</f>
        <v>1.1664000000000001</v>
      </c>
      <c r="H11" s="61"/>
      <c r="I11" s="56"/>
      <c r="J11" s="56"/>
    </row>
    <row r="12" spans="1:10" ht="15.75" customHeight="1" thickTop="1">
      <c r="B12" s="8" t="s">
        <v>342</v>
      </c>
      <c r="C12" s="328"/>
      <c r="D12" s="186">
        <f ca="1">IF(D9="","",D9/D11)</f>
        <v>3.1145701743010115E-4</v>
      </c>
      <c r="E12" s="187" t="str">
        <f>IF(E9="","",E9/E11)</f>
        <v/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1000CNY)</v>
      </c>
      <c r="E14" s="70" t="s">
        <v>211</v>
      </c>
    </row>
    <row r="15" spans="1:10" ht="15.75" customHeight="1">
      <c r="B15" s="57" t="s">
        <v>222</v>
      </c>
      <c r="C15" s="82">
        <f>Asset_Model!E59</f>
        <v>2286686.7000000002</v>
      </c>
      <c r="D15" s="207">
        <f>C15/(Dashboard!I5/Data!C4)</f>
        <v>1.7150192508074342</v>
      </c>
      <c r="E15" s="83" t="s">
        <v>220</v>
      </c>
      <c r="G15" s="130">
        <f>C15+C16+C17+C18</f>
        <v>2443164.2000000002</v>
      </c>
    </row>
    <row r="16" spans="1:10" ht="15.75" customHeight="1">
      <c r="B16" s="57" t="s">
        <v>226</v>
      </c>
      <c r="C16" s="82">
        <f>Asset_Model!E58</f>
        <v>180388.5</v>
      </c>
      <c r="D16" s="207">
        <f>C16/(Dashboard!I5/Data!C4)</f>
        <v>0.13529170835876941</v>
      </c>
      <c r="E16" s="83" t="s">
        <v>302</v>
      </c>
      <c r="G16" s="188">
        <f>(G15+MIN(D4,0))*Data!C$4/Dashboard!I5</f>
        <v>1.8323776649785666</v>
      </c>
    </row>
    <row r="17" spans="1:9" ht="15.75" customHeight="1">
      <c r="B17" s="57" t="s">
        <v>212</v>
      </c>
      <c r="C17" s="82">
        <f>-Asset_Model!D52</f>
        <v>-16614</v>
      </c>
      <c r="D17" s="207">
        <f>C17/(Dashboard!I5/Data!C4)</f>
        <v>-1.2460530702747653E-2</v>
      </c>
      <c r="E17" s="489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-7297</v>
      </c>
      <c r="D18" s="207">
        <f>C18/(Dashboard!I5/Data!C4)</f>
        <v>-5.4727634848892271E-3</v>
      </c>
      <c r="E18" s="489"/>
      <c r="F18" s="141">
        <f>D15+(MIN(D4,0)*Data!C$4/Dashboard!I5)</f>
        <v>1.7150192508074342</v>
      </c>
      <c r="G18" s="140">
        <f>SUM(D16:D18)</f>
        <v>0.11735841417113253</v>
      </c>
    </row>
    <row r="19" spans="1:9" ht="15.75" customHeight="1">
      <c r="F19" s="6"/>
      <c r="G19" s="6"/>
    </row>
    <row r="20" spans="1:9" ht="15.75" customHeight="1">
      <c r="B20" s="25" t="s">
        <v>348</v>
      </c>
      <c r="C20" s="185" t="str">
        <f>B3</f>
        <v>(Numbers in 1000CNY)</v>
      </c>
      <c r="E20" s="490" t="s">
        <v>216</v>
      </c>
      <c r="F20" s="490"/>
      <c r="G20" s="92"/>
    </row>
    <row r="21" spans="1:9" ht="15.75" customHeight="1">
      <c r="B21" s="121" t="str">
        <f>"TV after Year "&amp;G4</f>
        <v>TV after Year 1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(CNY)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0.2</v>
      </c>
      <c r="D22" s="269">
        <v>5</v>
      </c>
      <c r="E22" s="196">
        <f ca="1">IF(G9&lt;0,G9,G9*D22/G11)</f>
        <v>1.441930636250468E-3</v>
      </c>
      <c r="F22" s="332">
        <f ca="1">SUM(D12:F12)+E22+$G$16</f>
        <v>1.8341310526322472</v>
      </c>
      <c r="G22" s="335">
        <f ca="1">ROUND(F22*Exchange_Rate,2)</f>
        <v>2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2.3070890180007489E-3</v>
      </c>
      <c r="F23" s="333">
        <f ca="1">SUM(D12:F12)+E23+$G$16</f>
        <v>1.8349962110139975</v>
      </c>
      <c r="G23" s="336">
        <f ca="1">ROUND(F23*Exchange_Rate,2)</f>
        <v>2</v>
      </c>
      <c r="I23" s="72"/>
    </row>
    <row r="24" spans="1:9" ht="15.5" customHeight="1" thickTop="1">
      <c r="C24" s="6"/>
      <c r="D24" s="6"/>
      <c r="E24" s="491" t="s">
        <v>347</v>
      </c>
      <c r="F24" s="492"/>
      <c r="G24" s="363">
        <f ca="1">MIN(G22,G23)+ABS(G22-G23)*'Qualitative Analysis'!$E$64</f>
        <v>2</v>
      </c>
    </row>
    <row r="25" spans="1:9" ht="15.75" customHeight="1"/>
    <row r="26" spans="1:9" ht="15.75" customHeight="1">
      <c r="A26" s="4"/>
      <c r="B26" s="88" t="s">
        <v>337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1</v>
      </c>
      <c r="H26" s="12"/>
      <c r="I26" s="12"/>
    </row>
    <row r="27" spans="1:9" ht="15.75" customHeight="1">
      <c r="B27" s="28" t="str">
        <f>B3</f>
        <v>(Numbers in 1000CNY)</v>
      </c>
      <c r="C27" s="253">
        <f>C3</f>
        <v>44926</v>
      </c>
      <c r="D27" s="253">
        <f>D3</f>
        <v>45291</v>
      </c>
      <c r="E27" s="253" t="str">
        <f>E3</f>
        <v/>
      </c>
      <c r="F27" s="253" t="str">
        <f>F3</f>
        <v/>
      </c>
      <c r="G27" s="27" t="str">
        <f>G3</f>
        <v>Terminal Value</v>
      </c>
      <c r="I27" s="72" t="s">
        <v>363</v>
      </c>
    </row>
    <row r="28" spans="1:9" ht="15.75" customHeight="1">
      <c r="B28" s="5" t="s">
        <v>140</v>
      </c>
      <c r="C28" s="26">
        <f>C4</f>
        <v>593.25</v>
      </c>
      <c r="D28" s="26">
        <f>D4</f>
        <v>640.71000000002095</v>
      </c>
      <c r="E28" s="26" t="str">
        <f>E4</f>
        <v/>
      </c>
      <c r="F28" s="359" t="str">
        <f>F4</f>
        <v/>
      </c>
      <c r="G28" s="384">
        <f>D28*1.02</f>
        <v>653.52420000002144</v>
      </c>
      <c r="I28" s="72" t="s">
        <v>360</v>
      </c>
    </row>
    <row r="29" spans="1:9" ht="15.75" customHeight="1">
      <c r="B29" s="360" t="s">
        <v>338</v>
      </c>
      <c r="C29" s="64">
        <v>0.06</v>
      </c>
      <c r="D29" s="213">
        <v>0.08</v>
      </c>
      <c r="E29" s="64"/>
      <c r="F29" s="277"/>
      <c r="G29" s="277">
        <v>0.06</v>
      </c>
      <c r="I29" s="72" t="s">
        <v>352</v>
      </c>
    </row>
    <row r="30" spans="1:9" ht="15.75" customHeight="1">
      <c r="B30" s="360" t="s">
        <v>350</v>
      </c>
      <c r="C30" s="385">
        <f>MAX(Asset_Model!D52,0)</f>
        <v>16614</v>
      </c>
      <c r="D30" s="367">
        <v>87127</v>
      </c>
      <c r="E30" s="366"/>
      <c r="F30" s="366"/>
      <c r="G30" s="366">
        <f>IF(F30&lt;&gt;"",F30,IF(E30&lt;&gt;"",E30,D30))*1.4</f>
        <v>121977.79999999999</v>
      </c>
      <c r="I30" s="72" t="s">
        <v>351</v>
      </c>
    </row>
    <row r="31" spans="1:9" ht="15.75" customHeight="1">
      <c r="B31" s="360" t="s">
        <v>356</v>
      </c>
      <c r="C31" s="386">
        <f>Operation!C18</f>
        <v>0.25</v>
      </c>
      <c r="D31" s="386">
        <f>Operation!E18</f>
        <v>0.25</v>
      </c>
      <c r="E31" s="386" t="str">
        <f>Operation!G18</f>
        <v/>
      </c>
      <c r="F31" s="386" t="str">
        <f>Operation!I18</f>
        <v/>
      </c>
      <c r="G31" s="386">
        <f>IF(F31&lt;&gt;"",F31,IF(E31&lt;&gt;"",E31,D31))</f>
        <v>0.25</v>
      </c>
      <c r="I31" s="72"/>
    </row>
    <row r="32" spans="1:9" ht="15.75" customHeight="1" thickBot="1">
      <c r="B32" s="361" t="s">
        <v>355</v>
      </c>
      <c r="C32" s="364">
        <f>C30*(C29*(1-Operation!C18))</f>
        <v>747.63</v>
      </c>
      <c r="D32" s="364">
        <f>(D30*D29)*(1-D31)</f>
        <v>5227.62</v>
      </c>
      <c r="E32" s="365" t="str">
        <f>IF(E28="","",(E30*E29)*(1-E31))</f>
        <v/>
      </c>
      <c r="F32" s="365" t="str">
        <f>IF(F28="","",(F30*F29)*(1-F31))</f>
        <v/>
      </c>
      <c r="G32" s="364">
        <f>(G30*G29)*(1-Operation!E18)</f>
        <v>5489.0009999999993</v>
      </c>
      <c r="I32" s="72"/>
    </row>
    <row r="33" spans="1:9" ht="15.75" customHeight="1" thickTop="1">
      <c r="B33" s="360" t="s">
        <v>339</v>
      </c>
      <c r="C33" s="183">
        <f>C28-C32</f>
        <v>-154.38</v>
      </c>
      <c r="D33" s="182">
        <f>D28-D32</f>
        <v>-4586.9099999999789</v>
      </c>
      <c r="E33" s="182" t="str">
        <f>IF(E28="","",E28-E32)</f>
        <v/>
      </c>
      <c r="F33" s="182" t="str">
        <f>IF(F28="","",F28-F32)</f>
        <v/>
      </c>
      <c r="G33" s="369">
        <f>G28-G32</f>
        <v>-4835.4767999999776</v>
      </c>
      <c r="I33" s="72" t="s">
        <v>344</v>
      </c>
    </row>
    <row r="34" spans="1:9" ht="15.75" customHeight="1">
      <c r="B34" s="267" t="s">
        <v>340</v>
      </c>
      <c r="C34" s="184">
        <f>C33/(Common_Shares/Data!$C$4)</f>
        <v>-1.1578528529494297E-4</v>
      </c>
      <c r="D34" s="275">
        <f>D33/(Common_Shares/Data!$C$4)</f>
        <v>-3.4401909766305508E-3</v>
      </c>
      <c r="E34" s="275" t="str">
        <f>IF(E33="","",E33/(Common_Shares/Data!$C$4))</f>
        <v/>
      </c>
      <c r="F34" s="275" t="str">
        <f>IF(F33="","",F33/(Common_Shares/Data!$C$4))</f>
        <v/>
      </c>
      <c r="G34" s="184">
        <f>G33/(Common_Shares/Data!$C$4)</f>
        <v>-3.6266165359831281E-3</v>
      </c>
      <c r="H34" s="6"/>
      <c r="I34" s="72"/>
    </row>
    <row r="35" spans="1:9" ht="15.75" customHeight="1">
      <c r="B35" s="360" t="s">
        <v>346</v>
      </c>
      <c r="C35" s="368">
        <f>Dashboard!C31</f>
        <v>1.71</v>
      </c>
      <c r="D35" s="210">
        <f ca="1">D10</f>
        <v>0.08</v>
      </c>
      <c r="E35" s="18" t="str">
        <f>IF(E10="","",E10)</f>
        <v/>
      </c>
      <c r="F35" s="18" t="str">
        <f>IF(F10="","",F10)</f>
        <v/>
      </c>
      <c r="G35" s="379">
        <f ca="1">G10</f>
        <v>0.08</v>
      </c>
      <c r="I35" s="72"/>
    </row>
    <row r="36" spans="1:9" ht="15.75" customHeight="1" thickBot="1">
      <c r="B36" s="361" t="s">
        <v>345</v>
      </c>
      <c r="C36" s="373"/>
      <c r="D36" s="374">
        <f ca="1">C35*D35</f>
        <v>0.1368</v>
      </c>
      <c r="E36" s="375" t="str">
        <f>IF(E35="","", $D$36)</f>
        <v/>
      </c>
      <c r="F36" s="375" t="str">
        <f>IF(F35="","", $D$36)</f>
        <v/>
      </c>
      <c r="G36" s="380">
        <f ca="1">D36</f>
        <v>0.1368</v>
      </c>
      <c r="H36" s="6"/>
      <c r="I36" s="72"/>
    </row>
    <row r="37" spans="1:9" ht="15.75" customHeight="1" thickTop="1">
      <c r="B37" s="5" t="s">
        <v>341</v>
      </c>
      <c r="C37" s="389">
        <f>'Qualitative Analysis'!E64^2</f>
        <v>0.19437901337405711</v>
      </c>
      <c r="D37" s="371">
        <f ca="1">D34-D36</f>
        <v>-0.14024019097663057</v>
      </c>
      <c r="E37" s="371" t="str">
        <f>IF(E34="","",E34-E36)</f>
        <v/>
      </c>
      <c r="F37" s="371" t="str">
        <f>IF(F34="","",F34-F36)</f>
        <v/>
      </c>
      <c r="G37" s="372">
        <f ca="1">G34-G36</f>
        <v>-0.14042661653598312</v>
      </c>
      <c r="I37" s="72" t="s">
        <v>343</v>
      </c>
    </row>
    <row r="38" spans="1:9" ht="15.75" customHeight="1" thickBot="1">
      <c r="B38" s="5" t="s">
        <v>142</v>
      </c>
      <c r="C38" s="370"/>
      <c r="D38" s="376">
        <f ca="1">D11</f>
        <v>1.08</v>
      </c>
      <c r="E38" s="376" t="str">
        <f>E11</f>
        <v/>
      </c>
      <c r="F38" s="376" t="str">
        <f>F11</f>
        <v/>
      </c>
      <c r="G38" s="376">
        <f ca="1">IF(F30="",IF(E30="",D38,E38),F38)*(1+G35-C37)</f>
        <v>0.95647066555601856</v>
      </c>
      <c r="I38" s="72"/>
    </row>
    <row r="39" spans="1:9" ht="15.75" customHeight="1" thickTop="1">
      <c r="B39" s="5" t="s">
        <v>354</v>
      </c>
      <c r="C39" s="377"/>
      <c r="D39" s="378">
        <f ca="1">D37/D38</f>
        <v>-0.12985202868206533</v>
      </c>
      <c r="E39" s="378" t="str">
        <f>IF(E37="","",E37/E38)</f>
        <v/>
      </c>
      <c r="F39" s="378" t="str">
        <f>IF(F37="","",F37/F38)</f>
        <v/>
      </c>
      <c r="G39" s="378">
        <f ca="1">G37/G38</f>
        <v>-0.14681748389465754</v>
      </c>
      <c r="I39" s="72"/>
    </row>
    <row r="40" spans="1:9" ht="15.75" customHeight="1" thickBot="1">
      <c r="B40" s="6"/>
      <c r="C40" s="6"/>
      <c r="D40" s="6"/>
      <c r="E40" s="493" t="s">
        <v>364</v>
      </c>
      <c r="F40" s="494"/>
      <c r="G40" s="387">
        <f>Asset_Model!D7</f>
        <v>1.6090780512242446</v>
      </c>
    </row>
    <row r="41" spans="1:9" ht="15.75" customHeight="1" thickTop="1">
      <c r="E41" s="491" t="s">
        <v>349</v>
      </c>
      <c r="F41" s="492"/>
      <c r="G41" s="363">
        <f ca="1">(G40+SUM(D39:G39))*Exchange_Rate</f>
        <v>1.4535524085914557</v>
      </c>
    </row>
    <row r="42" spans="1:9" ht="15.5" customHeight="1"/>
    <row r="43" spans="1:9" ht="15.75" customHeight="1">
      <c r="B43" s="25" t="s">
        <v>309</v>
      </c>
      <c r="C43" s="487" t="s">
        <v>143</v>
      </c>
      <c r="D43" s="488"/>
      <c r="E43" s="29" t="s">
        <v>208</v>
      </c>
      <c r="F43" s="29" t="s">
        <v>18</v>
      </c>
      <c r="G43" s="29"/>
    </row>
    <row r="44" spans="1:9" ht="15.75" customHeight="1">
      <c r="B44" s="232" t="s">
        <v>307</v>
      </c>
      <c r="C44" s="230">
        <f ca="1">MIN(G24,G41)+ABS(G24-G41)*'Qualitative Analysis'!$E$8</f>
        <v>1.8032788670929241</v>
      </c>
      <c r="D44" s="115" t="str">
        <f>Dashboard!J4</f>
        <v>HKD</v>
      </c>
      <c r="E44" s="116">
        <f ca="1">(C44-G16)/C9</f>
        <v>-93.427973226430751</v>
      </c>
      <c r="F44" s="151">
        <f ca="1">C44/(Data!C28*Exchange_Rate*Data!C4/Common_Shares)</f>
        <v>0.78161626104822401</v>
      </c>
      <c r="G44" s="85"/>
    </row>
    <row r="45" spans="1:9" ht="15.75" customHeight="1"/>
    <row r="46" spans="1:9" ht="15.75" customHeight="1">
      <c r="A46" s="4"/>
      <c r="B46" s="88" t="s">
        <v>303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357</v>
      </c>
      <c r="C47" s="327">
        <f>Asset_Model!I3*Exchange_Rate*Data!C4/Common_Shares*1.01</f>
        <v>2.3241564390503244</v>
      </c>
      <c r="D47" s="326" t="str">
        <f>D44</f>
        <v>HKD</v>
      </c>
      <c r="E47" s="116">
        <f>(C47-G16)/C9</f>
        <v>1578.9619323062502</v>
      </c>
      <c r="F47" s="151">
        <f>C47/(Asset_Model!I3*Exchange_Rate*Data!C4/Common_Shares)</f>
        <v>1.01</v>
      </c>
      <c r="I47" s="72" t="s">
        <v>378</v>
      </c>
    </row>
    <row r="48" spans="1:9" ht="15.75" customHeight="1">
      <c r="B48" s="340" t="s">
        <v>358</v>
      </c>
      <c r="C48" s="338">
        <f ca="1">MIN(C47,C44)+ABS(C47-C44)*'Qualitative Analysis'!E64</f>
        <v>2.0329256387838024</v>
      </c>
      <c r="D48" s="326" t="str">
        <f>D47</f>
        <v>HKD</v>
      </c>
      <c r="E48" s="116">
        <f ca="1">(C48-G16)/C9</f>
        <v>643.90256947814771</v>
      </c>
      <c r="F48" s="151">
        <f ca="1">C48/(Asset_Model!I3*Exchange_Rate*Data!C4/Common_Shares)</f>
        <v>0.88344091674423719</v>
      </c>
      <c r="I48" s="72"/>
    </row>
    <row r="49" spans="2:6" ht="15.75" customHeight="1">
      <c r="B49" s="325" t="s">
        <v>308</v>
      </c>
      <c r="C49" s="338">
        <f ca="1">MAX(G41,C44)/(1+Dashboard!I14)</f>
        <v>1.4426230936743392</v>
      </c>
      <c r="D49" s="326" t="str">
        <f>D47</f>
        <v>HKD</v>
      </c>
      <c r="E49" s="116">
        <f ca="1">(C49-G16)/C9</f>
        <v>-1251.3912016501954</v>
      </c>
      <c r="F49" s="151">
        <f ca="1">C49/(Asset_Model!I3*Exchange_Rate*Data!C4/Common_Shares)</f>
        <v>0.6269153401766917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65" sqref="E6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3</v>
      </c>
      <c r="E3" s="30" t="s">
        <v>146</v>
      </c>
      <c r="G3" s="77"/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1.6</v>
      </c>
      <c r="E5" s="98" t="str">
        <f>IF(D5&gt;=3.5,"Strongly agree",IF(D5&gt;=2.5,"agree",IF(D5&gt;=1.5,"unclear",IF(D5&gt;=0.5,"disagree","Strongly disagree"))))</f>
        <v>unclear</v>
      </c>
      <c r="G5" s="75"/>
    </row>
    <row r="6" spans="1:7" ht="14">
      <c r="B6" s="6" t="s">
        <v>254</v>
      </c>
      <c r="C6" s="92"/>
      <c r="D6" s="90">
        <f>AVERAGE(D24:D28)</f>
        <v>2.2000000000000002</v>
      </c>
      <c r="E6" s="98" t="str">
        <f>IF(D6&gt;=3.5,"Strongly agree",IF(D6&gt;=2.5,"agree",IF(D6&gt;=1.5,"unclear",IF(D6&gt;=0.5,"disagree","Strongly disagree"))))</f>
        <v>unclear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2.56</v>
      </c>
      <c r="E8" s="94">
        <f>D8/4</f>
        <v>0.64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1</v>
      </c>
      <c r="E14" s="30" t="s">
        <v>153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1</v>
      </c>
      <c r="E15" s="30" t="s">
        <v>153</v>
      </c>
      <c r="F15" s="6"/>
      <c r="G15" s="266"/>
    </row>
    <row r="16" spans="1:7" ht="15" customHeight="1">
      <c r="B16" s="52" t="s">
        <v>154</v>
      </c>
      <c r="D16" s="96">
        <f>IF(E16="Strongly disagree",0,IF(E16="disagree",1,IF(E16="unclear",2,IF(E16="agree",3,4))))</f>
        <v>3</v>
      </c>
      <c r="E16" s="30" t="s">
        <v>146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1</v>
      </c>
      <c r="E19" s="30" t="s">
        <v>153</v>
      </c>
      <c r="F19" s="6"/>
      <c r="G19" s="266"/>
    </row>
    <row r="20" spans="2:7" ht="15" customHeight="1">
      <c r="B20" s="52" t="s">
        <v>158</v>
      </c>
      <c r="D20" s="96">
        <f t="shared" si="1"/>
        <v>1</v>
      </c>
      <c r="E20" s="30" t="s">
        <v>153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2</v>
      </c>
      <c r="E25" s="30" t="s">
        <v>145</v>
      </c>
      <c r="F25" s="6"/>
      <c r="G25" s="266"/>
    </row>
    <row r="26" spans="2:7" ht="15" customHeight="1">
      <c r="B26" s="52" t="s">
        <v>259</v>
      </c>
      <c r="D26" s="96">
        <f t="shared" si="2"/>
        <v>2</v>
      </c>
      <c r="E26" s="30" t="s">
        <v>145</v>
      </c>
      <c r="F26" s="6"/>
      <c r="G26" s="266"/>
    </row>
    <row r="27" spans="2:7" ht="15" customHeight="1">
      <c r="B27" s="52" t="s">
        <v>260</v>
      </c>
      <c r="D27" s="96">
        <f t="shared" si="2"/>
        <v>2</v>
      </c>
      <c r="E27" s="30" t="s">
        <v>145</v>
      </c>
      <c r="F27" s="6"/>
      <c r="G27" s="266"/>
    </row>
    <row r="28" spans="2:7" ht="15" customHeight="1">
      <c r="B28" s="52" t="s">
        <v>164</v>
      </c>
      <c r="D28" s="96">
        <f t="shared" si="2"/>
        <v>2</v>
      </c>
      <c r="E28" s="30" t="s">
        <v>145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1</v>
      </c>
      <c r="E31" s="30" t="s">
        <v>153</v>
      </c>
      <c r="F31" s="6"/>
      <c r="G31" s="266"/>
    </row>
    <row r="32" spans="2:7" ht="15" customHeight="1">
      <c r="B32" s="52" t="s">
        <v>261</v>
      </c>
      <c r="D32" s="96">
        <f t="shared" si="3"/>
        <v>4</v>
      </c>
      <c r="E32" s="30" t="s">
        <v>155</v>
      </c>
      <c r="F32" s="6"/>
      <c r="G32" s="266"/>
    </row>
    <row r="33" spans="2:7" ht="15" customHeight="1">
      <c r="B33" s="52" t="s">
        <v>262</v>
      </c>
      <c r="D33" s="96">
        <f t="shared" si="3"/>
        <v>1</v>
      </c>
      <c r="E33" s="30" t="s">
        <v>153</v>
      </c>
      <c r="F33" s="6"/>
      <c r="G33" s="266"/>
    </row>
    <row r="34" spans="2:7" ht="15" customHeight="1">
      <c r="B34" s="52" t="s">
        <v>263</v>
      </c>
      <c r="D34" s="96">
        <f t="shared" si="3"/>
        <v>2</v>
      </c>
      <c r="E34" s="30" t="s">
        <v>145</v>
      </c>
      <c r="F34" s="6"/>
      <c r="G34" s="266"/>
    </row>
    <row r="35" spans="2:7" ht="15" customHeight="1">
      <c r="B35" s="52" t="s">
        <v>279</v>
      </c>
      <c r="D35" s="96">
        <f t="shared" si="3"/>
        <v>2</v>
      </c>
      <c r="E35" s="30" t="s">
        <v>145</v>
      </c>
      <c r="G35" s="266"/>
    </row>
    <row r="36" spans="2:7" ht="15" customHeight="1">
      <c r="B36" s="1" t="s">
        <v>169</v>
      </c>
      <c r="D36" s="99">
        <f>SUM(D37:D41)/(5*4)</f>
        <v>0.35</v>
      </c>
      <c r="E36" s="48" t="str">
        <f>IF(D36&gt;80%,"Very High",IF(D36&lt;=20%,"Very Low",IF(D36&lt;=40%,"Low",IF(D36&lt;=60%,"Medium","High"))))</f>
        <v>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2</v>
      </c>
      <c r="E37" s="30" t="s">
        <v>145</v>
      </c>
      <c r="F37" s="6"/>
      <c r="G37" s="266"/>
    </row>
    <row r="38" spans="2:7" ht="15" customHeight="1">
      <c r="B38" s="52" t="s">
        <v>264</v>
      </c>
      <c r="D38" s="96">
        <f t="shared" si="4"/>
        <v>2</v>
      </c>
      <c r="E38" s="30" t="s">
        <v>145</v>
      </c>
      <c r="F38" s="6"/>
      <c r="G38" s="266"/>
    </row>
    <row r="39" spans="2:7" ht="15" customHeight="1">
      <c r="B39" s="52" t="s">
        <v>265</v>
      </c>
      <c r="D39" s="96">
        <f t="shared" si="4"/>
        <v>1</v>
      </c>
      <c r="E39" s="30" t="s">
        <v>153</v>
      </c>
      <c r="F39" s="6"/>
      <c r="G39" s="266"/>
    </row>
    <row r="40" spans="2:7" ht="15" customHeight="1">
      <c r="B40" s="52" t="s">
        <v>266</v>
      </c>
      <c r="D40" s="96">
        <f t="shared" si="4"/>
        <v>2</v>
      </c>
      <c r="E40" s="30" t="s">
        <v>145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0.5</v>
      </c>
      <c r="E42" s="48" t="str">
        <f>IF(D42&gt;80%,"Very High",IF(D42&lt;=20%,"Very Low",IF(D42&lt;=40%,"Low",IF(D42&lt;=60%,"Medium","High"))))</f>
        <v>Medium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0</v>
      </c>
      <c r="E43" s="30" t="s">
        <v>168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0</v>
      </c>
      <c r="E47" s="30" t="s">
        <v>168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0.41564625850340137</v>
      </c>
      <c r="E49" s="48" t="str">
        <f>IF(D49&gt;80%,"Very High",IF(D49&lt;=20%,"Very Low",IF(D49&lt;=40%,"Low",IF(D49&lt;=60%,"Medium","High"))))</f>
        <v>Medium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2</v>
      </c>
      <c r="E52" s="30" t="s">
        <v>145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335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3</v>
      </c>
      <c r="E61" s="30" t="s">
        <v>146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0.46353741496598633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1.7635374149659864</v>
      </c>
      <c r="E64" s="119">
        <f>AVERAGE(AVERAGE(D12:D16)/4,AVERAGE(D18:D22)/4,AVERAGE(D24:D28)/4,D62)</f>
        <v>0.44088435374149659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2023-08-09T09:35:23Z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