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6AE805C7-4A3F-49A4-A6F2-76FD8C619DF3}" xr6:coauthVersionLast="47" xr6:coauthVersionMax="47" xr10:uidLastSave="{00000000-0000-0000-0000-000000000000}"/>
  <bookViews>
    <workbookView xWindow="40470" yWindow="6210" windowWidth="14400" windowHeight="751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25" i="7" l="1"/>
  <c r="H25" i="7"/>
  <c r="G25" i="7"/>
  <c r="F25" i="7"/>
  <c r="G23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10" i="7" l="1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D17" i="4"/>
  <c r="G18" i="4" s="1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G16" i="4"/>
  <c r="F16" i="1" s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<sst xmlns="http://schemas.openxmlformats.org/spreadsheetml/2006/main" count="487" uniqueCount="416">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</sst>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C32" sqref="C32:D3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378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379</v>
      </c>
      <c r="D4" s="322"/>
      <c r="E4" s="6"/>
      <c r="G4" s="5" t="s">
        <v>5</v>
      </c>
      <c r="I4" s="221">
        <v>7.69</v>
      </c>
      <c r="J4" s="222" t="s">
        <v>6</v>
      </c>
      <c r="K4" s="92"/>
    </row>
    <row r="5" spans="1:12" ht="15.75" customHeight="1">
      <c r="B5" s="5" t="s">
        <v>7</v>
      </c>
      <c r="C5" s="354">
        <v>45154</v>
      </c>
      <c r="D5" s="322"/>
      <c r="E5" s="79" t="str">
        <f ca="1">IF(C5+30&gt;=TODAY(),"Patience Premium","")</f>
        <v>Patience Premium</v>
      </c>
      <c r="G5" s="5" t="s">
        <v>8</v>
      </c>
      <c r="I5" s="321">
        <v>791574976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6087.2115654400004</v>
      </c>
      <c r="J6" s="361"/>
      <c r="K6" s="91"/>
    </row>
    <row r="7" spans="1:12" ht="15.75" customHeight="1">
      <c r="B7" s="86" t="s">
        <v>10</v>
      </c>
      <c r="C7" s="218">
        <f>(Data!C42*Exchange_Rate)/I4</f>
        <v>2.9898747241397145E-2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10.45102775244613</v>
      </c>
      <c r="J9" s="166">
        <f>IF(I9="NNI","NNI",1/I9)</f>
        <v>9.5684369392851687E-2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1.4789959420599728</v>
      </c>
      <c r="J10" s="223">
        <f>I4/(Data!C7*Data!C4/Common_Shares*Exchange_Rate)</f>
        <v>0.56771186545948238</v>
      </c>
    </row>
    <row r="11" spans="1:12" ht="15.75" customHeight="1" thickBot="1">
      <c r="B11" s="124" t="s">
        <v>227</v>
      </c>
      <c r="C11" s="331">
        <f ca="1">C12-D10</f>
        <v>6.7000000000000004E-2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9.6000000000000002E-2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8.4085135337976258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7.69</v>
      </c>
      <c r="C16" s="347">
        <v>0.2</v>
      </c>
      <c r="D16" s="238">
        <f ca="1">I37/B16-(1+C16)</f>
        <v>0.20812093400231446</v>
      </c>
      <c r="E16" s="341" t="s">
        <v>21</v>
      </c>
      <c r="F16" s="362">
        <f>(Val_Models!G16)*Exchange_Rate</f>
        <v>1.9031493882849992</v>
      </c>
      <c r="G16" s="341" t="s">
        <v>22</v>
      </c>
      <c r="H16" s="239">
        <f>B16-$F$16</f>
        <v>5.7868506117150016</v>
      </c>
      <c r="I16" s="336">
        <v>2.3E-2</v>
      </c>
      <c r="J16" s="166">
        <f>I16/B16</f>
        <v>2.9908972691807538E-3</v>
      </c>
    </row>
    <row r="17" spans="1:10" ht="15.75" customHeight="1">
      <c r="B17" s="116">
        <f ca="1">MIN((I37+I38)/2,I37/(1+C16), IF(J20=0,E14,I37/(1+C16)))</f>
        <v>8.7776304047579501</v>
      </c>
      <c r="C17" s="348"/>
      <c r="D17" s="149">
        <f ca="1">I37/B17-(1+C16)</f>
        <v>3.3641596097301329E-2</v>
      </c>
      <c r="E17" s="342"/>
      <c r="F17" s="363"/>
      <c r="G17" s="342"/>
      <c r="H17" s="236">
        <f ca="1">B17-$F$16</f>
        <v>6.8744810164729504</v>
      </c>
      <c r="I17" s="337"/>
      <c r="J17" s="149">
        <f ca="1">I16/B17</f>
        <v>2.620297157594236E-3</v>
      </c>
    </row>
    <row r="18" spans="1:10" ht="15.75" customHeight="1">
      <c r="B18" s="129">
        <f>C37</f>
        <v>7.44</v>
      </c>
      <c r="C18" s="349"/>
      <c r="D18" s="237">
        <f ca="1">I37/B18-(1+C16)</f>
        <v>0.25543682560185443</v>
      </c>
      <c r="E18" s="343"/>
      <c r="F18" s="364"/>
      <c r="G18" s="343"/>
      <c r="H18" s="98">
        <f>B18-$F$16</f>
        <v>5.5368506117150016</v>
      </c>
      <c r="I18" s="338"/>
      <c r="J18" s="158">
        <f>I16/B18</f>
        <v>3.0913978494623655E-3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7" t="s">
        <v>382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383</v>
      </c>
      <c r="D22" s="352"/>
      <c r="E22" s="352"/>
      <c r="F22" s="352"/>
      <c r="G22" s="366" t="s">
        <v>384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386</v>
      </c>
      <c r="D23" s="340"/>
      <c r="E23" s="340"/>
      <c r="F23" s="340"/>
      <c r="G23" s="339" t="s">
        <v>385</v>
      </c>
      <c r="H23" s="339"/>
      <c r="I23" s="340"/>
      <c r="J23" s="340"/>
    </row>
    <row r="24" spans="1:10" ht="52.5" customHeight="1">
      <c r="A24" s="6"/>
      <c r="B24" s="19" t="s">
        <v>292</v>
      </c>
      <c r="C24" s="369" t="s">
        <v>407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291</v>
      </c>
      <c r="C25" s="370" t="s">
        <v>408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0.18036363636363636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0.18036363636363636</v>
      </c>
      <c r="J29" s="344"/>
    </row>
    <row r="30" spans="1:10" ht="15.75" customHeight="1">
      <c r="B30" s="18" t="s">
        <v>32</v>
      </c>
      <c r="C30" s="321">
        <v>16000</v>
      </c>
      <c r="D30" s="322"/>
      <c r="E30" s="321"/>
      <c r="F30" s="322"/>
      <c r="G30" s="321"/>
      <c r="H30" s="321"/>
      <c r="I30" s="350">
        <f>C30+E30+G30</f>
        <v>16000</v>
      </c>
      <c r="J30" s="350"/>
    </row>
    <row r="31" spans="1:10" ht="15.75" customHeight="1">
      <c r="B31" s="18" t="s">
        <v>33</v>
      </c>
      <c r="C31" s="323">
        <v>7.44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5889.3178214400004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119040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119040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7.44</v>
      </c>
      <c r="F34" s="329"/>
      <c r="G34" s="78"/>
      <c r="H34" s="78"/>
      <c r="I34" s="328">
        <f>IF(I33=0,"",I33/I30)</f>
        <v>7.44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5889.3178214400004</v>
      </c>
      <c r="F35" s="325"/>
      <c r="G35" s="230"/>
      <c r="H35" s="230"/>
      <c r="I35" s="324">
        <f>IF(I34="","",I34*$I$5/1000000)</f>
        <v>5889.3178214400004</v>
      </c>
      <c r="J35" s="324"/>
    </row>
    <row r="36" spans="2:11" ht="15.75" customHeight="1"/>
    <row r="37" spans="2:11" ht="15.75" customHeight="1">
      <c r="B37" s="87" t="s">
        <v>256</v>
      </c>
      <c r="C37" s="374">
        <f>C31</f>
        <v>7.44</v>
      </c>
      <c r="D37" s="375"/>
      <c r="E37" s="79" t="str">
        <f ca="1">IF(C37&gt;B17,"Caution! &gt; Breakeven price!","")</f>
        <v/>
      </c>
      <c r="F37" s="6"/>
      <c r="G37" s="371" t="s">
        <v>316</v>
      </c>
      <c r="H37" s="371"/>
      <c r="I37" s="372">
        <f ca="1">Val_Models!C46</f>
        <v>10.828449982477798</v>
      </c>
      <c r="J37" s="373"/>
    </row>
    <row r="38" spans="2:11" ht="15.75" customHeight="1">
      <c r="B38" s="87" t="s">
        <v>281</v>
      </c>
      <c r="C38" s="374">
        <f>E34</f>
        <v>7.44</v>
      </c>
      <c r="D38" s="375"/>
      <c r="E38" s="6"/>
      <c r="F38" s="6"/>
      <c r="G38" s="371" t="s">
        <v>280</v>
      </c>
      <c r="H38" s="371"/>
      <c r="I38" s="372">
        <f ca="1">Val_Models!C47</f>
        <v>6.7268108270381006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0.45543682560185439</v>
      </c>
      <c r="F47" s="171">
        <f ca="1">I37/C38-1</f>
        <v>0.45543682560185439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-9.5858759806706995E-2</v>
      </c>
      <c r="F48" s="171">
        <f ca="1">Val_Models!C47/C38-1</f>
        <v>-9.5858759806706995E-2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0.59622130059316103</v>
      </c>
      <c r="F50" s="171">
        <f ca="1">IF(F47&lt;=0,0,AVERAGE(F41:F44,0.5*(1+F47+F48-C16)))</f>
        <v>0.59622130059316103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4.751123700329666</v>
      </c>
      <c r="F51" s="234">
        <f ca="1">IF(F48&gt;=0,100,F47/ABS(F48))</f>
        <v>4.751123700329666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2.8226123948316717</v>
      </c>
      <c r="F52" s="232">
        <f ca="1">MAX(C16*2.5/F47,1)+IF(F47&lt;C16,100,0)+IF(D18&lt;0,100,0)+IF(J20=1,2/(1+F47+F48-C16),0)</f>
        <v>2.8226123948316717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0.18112134862855814</v>
      </c>
      <c r="F53" s="217">
        <f ca="1">MIN(MAX(F50-ABS((1-F50)/F51),0)/F52,H53)</f>
        <v>0.18112134862855814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1049001.3313561124</v>
      </c>
      <c r="E6" s="149">
        <f>1-D6/D3</f>
        <v>0.74332697939397541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1.3252077985801718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1.4789959420599725</v>
      </c>
      <c r="E53" s="51">
        <f>MAX(C53,C53*Dashboard!I10)</f>
        <v>74846.068643886974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4553999.6340838866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B24" sqref="B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I22" sqref="I2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C15/(Dashboard!I5/Data!C4)*Exchange_Rate</f>
        <v>2.9812476032592521</v>
      </c>
      <c r="E15" s="52" t="s">
        <v>199</v>
      </c>
      <c r="G15" s="199">
        <f>C15+C16+C17+C18</f>
        <v>1506485.4313561129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C16/(Dashboard!I5/Data!C4)*Exchange_Rate</f>
        <v>3.3763699978307547E-2</v>
      </c>
      <c r="E16" s="52" t="s">
        <v>275</v>
      </c>
      <c r="G16" s="264">
        <f>(G15+MIN(D4,0))*Data!C$4/Dashboard!I5*Exchange_Rate</f>
        <v>1.9031493882849992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C17/(Dashboard!I5/Data!C4)*Exchange_Rate</f>
        <v>-1.0173085613055055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-74846.068643886974</v>
      </c>
      <c r="D18" s="106">
        <f>C18/(Dashboard!I5/Data!C4)*Exchange_Rate</f>
        <v>-9.4553353647054875E-2</v>
      </c>
      <c r="E18" s="342"/>
      <c r="F18" s="89">
        <f>D15+(MIN(D4,0)*Data!C$4/Dashboard!I5)</f>
        <v>2.9812476032592521</v>
      </c>
      <c r="G18" s="88">
        <f>SUM(D16:D18)</f>
        <v>-1.0780982149742528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11.118209282245065</v>
      </c>
      <c r="G22" s="271">
        <f>F22*Exchange_Rate</f>
        <v>11.118209282245065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20.195730968832589</v>
      </c>
      <c r="G23" s="272">
        <f>F23*Exchange_Rate</f>
        <v>20.195730968832589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15.394370391033974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7.44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0.7142400000000001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-0.76100299017820383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-0.79436263570864252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71"/>
      <c r="G40" s="280">
        <f>Asset_Model!D7</f>
        <v>1.3252077985801718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0.53084516287152927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8.4085135337976258</v>
      </c>
      <c r="D44" s="262" t="str">
        <f>Dashboard!J4</f>
        <v>HKD</v>
      </c>
      <c r="E44" s="263">
        <f ca="1">(C44-G16)/C9</f>
        <v>-2.664793869442768</v>
      </c>
      <c r="F44" s="263">
        <f ca="1">C44/(Data!C29*Exchange_Rate*Data!C4/Common_Shares)</f>
        <v>1.6171856170667165</v>
      </c>
      <c r="G44" s="263">
        <f ca="1">C44/(Data!C7*Data!C4*Exchange_Rate/Common_Shares)</f>
        <v>0.62075590429304994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-4.7691013812462808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10.828449982477798</v>
      </c>
      <c r="D46" s="256" t="str">
        <f>D45</f>
        <v>HKD</v>
      </c>
      <c r="E46" s="223">
        <f ca="1">(C46-G16)/C9</f>
        <v>-3.656073015181637</v>
      </c>
      <c r="F46" s="223">
        <f ca="1">C46/(Asset_Model!I3*Exchange_Rate*Data!C4/Common_Shares)</f>
        <v>2.1236049538791888</v>
      </c>
      <c r="G46" s="223">
        <f ca="1">C46/(Data!C7*Data!C4*Exchange_Rate/Common_Shares)</f>
        <v>0.79940696223500252</v>
      </c>
    </row>
    <row r="47" spans="1:9" ht="15.75" customHeight="1">
      <c r="B47" s="84" t="s">
        <v>280</v>
      </c>
      <c r="C47" s="259">
        <f ca="1">MAX(G41,C44)/(1+Dashboard!I14)</f>
        <v>6.7268108270381006</v>
      </c>
      <c r="D47" s="260" t="str">
        <f>D45</f>
        <v>HKD</v>
      </c>
      <c r="E47" s="224">
        <f ca="1">(C47-G16)/C9</f>
        <v>-1.9759175878145769</v>
      </c>
      <c r="F47" s="224">
        <f ca="1">C47/(Asset_Model!I3*Exchange_Rate*Data!C4/Common_Shares)</f>
        <v>1.3192182463068938</v>
      </c>
      <c r="G47" s="224">
        <f ca="1">C47/(Data!C7*Data!C4*Exchange_Rate/Common_Shares)</f>
        <v>0.49660472343443995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2023-09-07T01:47:10Z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