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A7628AC-E587-456D-9A01-1C23D4BD5029}" xr6:coauthVersionLast="47" xr6:coauthVersionMax="47" xr10:uidLastSave="{00000000-0000-0000-0000-000000000000}"/>
  <bookViews>
    <workbookView xWindow="40470" yWindow="6210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45" i="4" l="1"/>
  <c r="C29" i="4"/>
  <c r="G8" i="7"/>
  <c r="G7" i="7"/>
  <c r="G6" i="7"/>
  <c r="G5" i="7"/>
  <c r="G4" i="7"/>
  <c r="I24" i="7"/>
  <c r="H24" i="7"/>
  <c r="F24" i="7"/>
  <c r="G22" i="7"/>
  <c r="I16" i="1" l="1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D7" i="4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<sst xmlns="http://schemas.openxmlformats.org/spreadsheetml/2006/main" count="479" uniqueCount="411">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</sst>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10" zoomScaleNormal="100" workbookViewId="0">
      <selection activeCell="C25" sqref="C25:J2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389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407</v>
      </c>
      <c r="D4" s="322"/>
      <c r="E4" s="6"/>
      <c r="G4" s="5" t="s">
        <v>5</v>
      </c>
      <c r="I4" s="221">
        <v>1.52</v>
      </c>
      <c r="J4" s="222" t="s">
        <v>6</v>
      </c>
      <c r="K4" s="92"/>
    </row>
    <row r="5" spans="1:12" ht="15.75" customHeight="1">
      <c r="B5" s="5" t="s">
        <v>7</v>
      </c>
      <c r="C5" s="354">
        <v>44931</v>
      </c>
      <c r="D5" s="322"/>
      <c r="E5" s="79" t="str">
        <f ca="1">IF(C5+30&gt;=TODAY(),"Patience Premium","")</f>
        <v/>
      </c>
      <c r="G5" s="5" t="s">
        <v>8</v>
      </c>
      <c r="I5" s="321">
        <v>1333330048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2026.66167296</v>
      </c>
      <c r="J6" s="361"/>
      <c r="K6" s="91"/>
    </row>
    <row r="7" spans="1:12" ht="15.75" customHeight="1">
      <c r="B7" s="86" t="s">
        <v>10</v>
      </c>
      <c r="C7" s="218">
        <f>(Data!C42*Exchange_Rate)/I4</f>
        <v>5.1495365034588646E-2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28.840231847051161</v>
      </c>
      <c r="J9" s="166">
        <f>IF(I9="NNI","NNI",1/I9)</f>
        <v>3.4673785054964719E-2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0.66204981521883766</v>
      </c>
      <c r="J10" s="223">
        <f>I4/(Data!C7*Data!C4/Common_Shares*Exchange_Rate)</f>
        <v>1.2944362599342543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390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1.0856176614761353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2.0387185289754779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1.52</v>
      </c>
      <c r="C16" s="347">
        <v>0.2</v>
      </c>
      <c r="D16" s="238">
        <f ca="1">I37/B16-(1+C16)</f>
        <v>0.22169267553653382</v>
      </c>
      <c r="E16" s="341" t="s">
        <v>21</v>
      </c>
      <c r="F16" s="362">
        <f>(Val_Models!G16)*Exchange_Rate</f>
        <v>2.2112202169222295</v>
      </c>
      <c r="G16" s="341" t="s">
        <v>22</v>
      </c>
      <c r="H16" s="239">
        <f>B16-$F$16</f>
        <v>-0.69122021692222946</v>
      </c>
      <c r="I16" s="336">
        <f>0.28+0.21</f>
        <v>0.49</v>
      </c>
      <c r="J16" s="166">
        <f>I16/B16</f>
        <v>0.32236842105263158</v>
      </c>
    </row>
    <row r="17" spans="1:10" ht="15.75" customHeight="1">
      <c r="B17" s="116">
        <f ca="1">MIN((I37+I38)/2,I37/(1+C16), IF(J20=0,E14,I37/(1+C16)))</f>
        <v>1.8008107223462764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-0.4104094945759531</v>
      </c>
      <c r="I17" s="337"/>
      <c r="J17" s="149">
        <f ca="1">I16/B17</f>
        <v>0.27209966817699693</v>
      </c>
    </row>
    <row r="18" spans="1:10" ht="15.75" customHeight="1">
      <c r="B18" s="129">
        <f>C37</f>
        <v>1.2</v>
      </c>
      <c r="C18" s="349"/>
      <c r="D18" s="237">
        <f ca="1">I37/B18-(1+C16)</f>
        <v>0.60081072234627642</v>
      </c>
      <c r="E18" s="343"/>
      <c r="F18" s="364"/>
      <c r="G18" s="343"/>
      <c r="H18" s="98">
        <f>B18-$F$16</f>
        <v>-1.0112202169222295</v>
      </c>
      <c r="I18" s="338"/>
      <c r="J18" s="158">
        <f>I16/B18</f>
        <v>0.40833333333333333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391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406</v>
      </c>
      <c r="D22" s="352"/>
      <c r="E22" s="352"/>
      <c r="F22" s="352"/>
      <c r="G22" s="366" t="s">
        <v>404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405</v>
      </c>
      <c r="D23" s="340"/>
      <c r="E23" s="340"/>
      <c r="F23" s="340"/>
      <c r="G23" s="339" t="s">
        <v>408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409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44932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0.22500000000000001</v>
      </c>
      <c r="D29" s="329"/>
      <c r="E29" s="334">
        <f>E33/D27</f>
        <v>9.0909090909090912E-2</v>
      </c>
      <c r="F29" s="329"/>
      <c r="G29" s="345">
        <f>G33/D27</f>
        <v>0</v>
      </c>
      <c r="H29" s="345"/>
      <c r="I29" s="344">
        <f>C29+E29+G29</f>
        <v>0.31590909090909092</v>
      </c>
      <c r="J29" s="344"/>
    </row>
    <row r="30" spans="1:10" ht="15.75" customHeight="1">
      <c r="B30" s="18" t="s">
        <v>32</v>
      </c>
      <c r="C30" s="321">
        <v>90000</v>
      </c>
      <c r="D30" s="322"/>
      <c r="E30" s="321">
        <v>50000</v>
      </c>
      <c r="F30" s="322"/>
      <c r="G30" s="321"/>
      <c r="H30" s="321"/>
      <c r="I30" s="350">
        <f>C30+E30+G30</f>
        <v>140000</v>
      </c>
      <c r="J30" s="350"/>
    </row>
    <row r="31" spans="1:10" ht="15.75" customHeight="1">
      <c r="B31" s="18" t="s">
        <v>33</v>
      </c>
      <c r="C31" s="323">
        <v>1.65</v>
      </c>
      <c r="D31" s="322"/>
      <c r="E31" s="323">
        <v>1.2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2199.9945791999999</v>
      </c>
      <c r="D32" s="329"/>
      <c r="E32" s="330">
        <f>E31*$I$5/1000000</f>
        <v>1599.9960575999999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148500</v>
      </c>
      <c r="D33" s="327"/>
      <c r="E33" s="326">
        <f>E30*E31</f>
        <v>60000</v>
      </c>
      <c r="F33" s="327"/>
      <c r="G33" s="326">
        <f>G30*G31</f>
        <v>0</v>
      </c>
      <c r="H33" s="326"/>
      <c r="I33" s="326">
        <f>C33+E33+G33</f>
        <v>208500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1.4892857142857143</v>
      </c>
      <c r="F34" s="329"/>
      <c r="G34" s="78"/>
      <c r="H34" s="78"/>
      <c r="I34" s="328">
        <f>IF(I33=0,"",I33/I30)</f>
        <v>1.4892857142857143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1985.7093929142857</v>
      </c>
      <c r="F35" s="325"/>
      <c r="G35" s="230"/>
      <c r="H35" s="230"/>
      <c r="I35" s="324">
        <f>IF(I34="","",I34*$I$5/1000000)</f>
        <v>1985.7093929142857</v>
      </c>
      <c r="J35" s="324"/>
    </row>
    <row r="36" spans="2:11" ht="15.75" customHeight="1"/>
    <row r="37" spans="2:11" ht="15.75" customHeight="1">
      <c r="B37" s="87" t="s">
        <v>255</v>
      </c>
      <c r="C37" s="374">
        <f>E31</f>
        <v>1.2</v>
      </c>
      <c r="D37" s="375"/>
      <c r="E37" s="79" t="str">
        <f ca="1">IF(C37&gt;B17,"Caution! &gt; Breakeven price!","")</f>
        <v/>
      </c>
      <c r="F37" s="6"/>
      <c r="G37" s="371" t="s">
        <v>314</v>
      </c>
      <c r="H37" s="371"/>
      <c r="I37" s="372">
        <f ca="1">Val_Models!C46</f>
        <v>2.1609728668155315</v>
      </c>
      <c r="J37" s="373"/>
    </row>
    <row r="38" spans="2:11" ht="15.75" customHeight="1">
      <c r="B38" s="87" t="s">
        <v>280</v>
      </c>
      <c r="C38" s="374">
        <f>E34</f>
        <v>1.4892857142857143</v>
      </c>
      <c r="D38" s="375"/>
      <c r="E38" s="6"/>
      <c r="F38" s="6"/>
      <c r="G38" s="371" t="s">
        <v>279</v>
      </c>
      <c r="H38" s="371"/>
      <c r="I38" s="372">
        <f ca="1">Val_Models!C47</f>
        <v>1.6309748231803822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0.30968052534274637</v>
      </c>
      <c r="F47" s="171">
        <f ca="1">I37/C38-1</f>
        <v>0.45101295613512904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-1.1530410193707707E-2</v>
      </c>
      <c r="F48" s="171">
        <f ca="1">Val_Models!C47/C38-1</f>
        <v>9.5138970001215961E-2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0.68545377735502089</v>
      </c>
      <c r="F50" s="171">
        <f ca="1">IF(F47&lt;=0,0,AVERAGE(F41:F44,0.5*(1+F47+F48-C16)))</f>
        <v>0.7102539584537515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26.857719728977465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1.6145671396243371</v>
      </c>
      <c r="F52" s="232">
        <f ca="1">MAX(C16*2.5/F47,1)+IF(F47&lt;C16,100,0)+IF(D18&lt;0,100,0)+IF(J20=1,2/(1+F47+F48-C16),0)</f>
        <v>1.1086156022759439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2.4125124647268397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1.8413712425514395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4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-815103.32703999989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2" zoomScaleNormal="100" zoomScalePageLayoutView="80" workbookViewId="0">
      <selection activeCell="C46" sqref="C4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C15/(Dashboard!I5/Data!C4)*Exchange_Rate</f>
        <v>1.9384454453494597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C16/(Dashboard!I5/Data!C4)*Exchange_Rate</f>
        <v>0.14687286966437726</v>
      </c>
      <c r="E16" s="52" t="s">
        <v>274</v>
      </c>
      <c r="G16" s="264">
        <f>(G15+MIN(D4,0))*Data!C$4/Dashboard!I5*Exchange_Rate</f>
        <v>2.0368314696682353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C17/(Dashboard!I5/Data!C4)*Exchange_Rate</f>
        <v>-1.2981847983205057E-2</v>
      </c>
      <c r="E17" s="342" t="str">
        <f>IF(F18+G18=G16,"⇒","Error!")</f>
        <v>Error!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C18/(Dashboard!I5/Data!C4)*Exchange_Rate</f>
        <v>-5.37626331115799E-3</v>
      </c>
      <c r="E18" s="342"/>
      <c r="F18" s="89">
        <f>D15+(MIN(D4,0)*Data!C$4/Dashboard!I5)</f>
        <v>1.9106928256930407</v>
      </c>
      <c r="G18" s="88">
        <f>SUM(D16:D18)</f>
        <v>0.12851475837001422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1.9988080316045196</v>
      </c>
      <c r="G22" s="271">
        <f>F22*Exchange_Rate</f>
        <v>2.1699413010102155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1.9988080316045196</v>
      </c>
      <c r="G23" s="272">
        <f>F23*Exchange_Rate</f>
        <v>2.1699413010102155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2.1699413010102155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71"/>
      <c r="G40" s="280">
        <f>Asset_Model!D7</f>
        <v>1.8413712425514395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1.8054336009137215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2.0387185289754779</v>
      </c>
      <c r="D44" s="262" t="str">
        <f>Dashboard!J4</f>
        <v>HKD</v>
      </c>
      <c r="E44" s="263">
        <f ca="1">(C44-G16)/C9</f>
        <v>0.31469596031452196</v>
      </c>
      <c r="F44" s="263">
        <f ca="1">C44/(Data!C29*Exchange_Rate*Data!C4/Common_Shares)</f>
        <v>0.88798238512594452</v>
      </c>
      <c r="G44" s="263">
        <f ca="1">C44/(Data!C7*Data!C4*Exchange_Rate/Common_Shares)</f>
        <v>1.7361784129642646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2.3160119661377658</v>
      </c>
      <c r="D45" s="256" t="str">
        <f>D44</f>
        <v>HKD</v>
      </c>
      <c r="E45" s="223">
        <f>(C45-G16)/C9</f>
        <v>46.557611676730936</v>
      </c>
      <c r="F45" s="223">
        <f>C45/(Asset_Model!I3*Exchange_Rate*Data!C4/Common_Shares)</f>
        <v>0.95999999999999985</v>
      </c>
      <c r="G45" s="223">
        <f>C45/(Data!C7*Data!C4*Exchange_Rate/Common_Shares)</f>
        <v>1.9723222811910186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2.1609728668155315</v>
      </c>
      <c r="D46" s="256" t="str">
        <f>D45</f>
        <v>HKD</v>
      </c>
      <c r="E46" s="223">
        <f ca="1">(C46-G16)/C9</f>
        <v>20.702473971069264</v>
      </c>
      <c r="F46" s="223">
        <f ca="1">C46/(Asset_Model!I3*Exchange_Rate*Data!C4/Common_Shares)</f>
        <v>0.89573542040132459</v>
      </c>
      <c r="G46" s="223">
        <f ca="1">C46/(Data!C7*Data!C4*Exchange_Rate/Common_Shares)</f>
        <v>1.8402905496974342</v>
      </c>
    </row>
    <row r="47" spans="1:9" ht="15.75" customHeight="1">
      <c r="B47" s="84" t="s">
        <v>279</v>
      </c>
      <c r="C47" s="259">
        <f ca="1">MAX(G41,C44)/(1+Dashboard!I14)</f>
        <v>1.6309748231803822</v>
      </c>
      <c r="D47" s="260" t="str">
        <f>D45</f>
        <v>HKD</v>
      </c>
      <c r="E47" s="224">
        <f ca="1">(C47-G16)/C9</f>
        <v>-67.682794402022211</v>
      </c>
      <c r="F47" s="224">
        <f ca="1">C47/(Asset_Model!I3*Exchange_Rate*Data!C4/Common_Shares)</f>
        <v>0.67604824722223844</v>
      </c>
      <c r="G47" s="224">
        <f ca="1">C47/(Data!C7*Data!C4*Exchange_Rate/Common_Shares)</f>
        <v>1.3889427303714117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2023-09-07T01:47:17Z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