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"/>
    </mc:Choice>
  </mc:AlternateContent>
  <xr:revisionPtr revIDLastSave="0" documentId="13_ncr:1_{D98200D7-ADC3-4049-AE3D-F8E5D1688E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4" i="7" l="1"/>
  <c r="E14" i="7" s="1"/>
  <c r="C10" i="7"/>
  <c r="E8" i="7"/>
  <c r="C8" i="7"/>
  <c r="D7" i="7" s="1"/>
  <c r="C40" i="3"/>
  <c r="C42" i="3" s="1"/>
  <c r="C36" i="3"/>
  <c r="C17" i="3"/>
  <c r="I32" i="3"/>
  <c r="E11" i="3"/>
  <c r="E59" i="3" s="1"/>
  <c r="E12" i="3"/>
  <c r="E13" i="3"/>
  <c r="E24" i="3" s="1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I46" i="3"/>
  <c r="D4" i="3"/>
  <c r="C50" i="3" s="1"/>
  <c r="I10" i="1"/>
  <c r="C11" i="7"/>
  <c r="E11" i="7" s="1"/>
  <c r="G19" i="3"/>
  <c r="G20" i="3"/>
  <c r="G31" i="3"/>
  <c r="G33" i="3"/>
  <c r="G34" i="3"/>
  <c r="G35" i="3"/>
  <c r="D53" i="3"/>
  <c r="D52" i="3" s="1"/>
  <c r="C20" i="4" s="1"/>
  <c r="D20" i="4" s="1"/>
  <c r="I17" i="7"/>
  <c r="I20" i="7"/>
  <c r="F4" i="4" s="1"/>
  <c r="G17" i="7"/>
  <c r="G20" i="7"/>
  <c r="E4" i="4" s="1"/>
  <c r="D3" i="5"/>
  <c r="D4" i="5"/>
  <c r="D12" i="5"/>
  <c r="D13" i="5"/>
  <c r="D14" i="5"/>
  <c r="D15" i="5"/>
  <c r="D16" i="5"/>
  <c r="D5" i="5"/>
  <c r="D24" i="5"/>
  <c r="D25" i="5"/>
  <c r="D26" i="5"/>
  <c r="D27" i="5"/>
  <c r="D28" i="5"/>
  <c r="D6" i="5"/>
  <c r="I15" i="3"/>
  <c r="C26" i="3"/>
  <c r="D63" i="3" s="1"/>
  <c r="D19" i="5"/>
  <c r="D20" i="5"/>
  <c r="D21" i="5"/>
  <c r="D22" i="5"/>
  <c r="D31" i="5"/>
  <c r="D32" i="5"/>
  <c r="D33" i="5"/>
  <c r="D34" i="5"/>
  <c r="D35" i="5"/>
  <c r="D30" i="5"/>
  <c r="D37" i="5"/>
  <c r="D38" i="5"/>
  <c r="D39" i="5"/>
  <c r="D40" i="5"/>
  <c r="D41" i="5"/>
  <c r="D36" i="5"/>
  <c r="D43" i="5"/>
  <c r="D44" i="5"/>
  <c r="D45" i="5"/>
  <c r="D46" i="5"/>
  <c r="D47" i="5"/>
  <c r="D48" i="5"/>
  <c r="D42" i="5"/>
  <c r="D50" i="5"/>
  <c r="D51" i="5"/>
  <c r="D52" i="5"/>
  <c r="D53" i="5"/>
  <c r="B69" i="5"/>
  <c r="B70" i="5"/>
  <c r="B71" i="5"/>
  <c r="E71" i="5"/>
  <c r="D54" i="5" a="1"/>
  <c r="D54" i="5"/>
  <c r="D49" i="5"/>
  <c r="D56" i="5"/>
  <c r="D57" i="5"/>
  <c r="D58" i="5"/>
  <c r="D59" i="5"/>
  <c r="D60" i="5"/>
  <c r="D61" i="5"/>
  <c r="D55" i="5"/>
  <c r="D62" i="5"/>
  <c r="G34" i="4"/>
  <c r="I16" i="7"/>
  <c r="I3" i="7"/>
  <c r="F3" i="4" s="1"/>
  <c r="G4" i="4" s="1"/>
  <c r="B24" i="4" s="1"/>
  <c r="G2" i="4" s="1"/>
  <c r="G3" i="7"/>
  <c r="E3" i="4" s="1"/>
  <c r="C35" i="1"/>
  <c r="B18" i="1" s="1"/>
  <c r="B15" i="1"/>
  <c r="G24" i="4"/>
  <c r="F24" i="4"/>
  <c r="C12" i="1"/>
  <c r="D13" i="4" s="1"/>
  <c r="F43" i="1"/>
  <c r="F40" i="1"/>
  <c r="B16" i="1"/>
  <c r="C15" i="4"/>
  <c r="D5" i="7"/>
  <c r="D65" i="3"/>
  <c r="D6" i="7"/>
  <c r="E6" i="1"/>
  <c r="C3" i="7" s="1"/>
  <c r="E26" i="1"/>
  <c r="C36" i="1"/>
  <c r="E7" i="3"/>
  <c r="C26" i="4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E16" i="1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E43" i="2" s="1"/>
  <c r="F27" i="2"/>
  <c r="I15" i="7"/>
  <c r="I4" i="3"/>
  <c r="D6" i="1"/>
  <c r="C29" i="4"/>
  <c r="B3" i="4"/>
  <c r="C17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B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C44" i="3" s="1"/>
  <c r="G10" i="7"/>
  <c r="I53" i="3"/>
  <c r="G12" i="7"/>
  <c r="G16" i="7"/>
  <c r="G18" i="7"/>
  <c r="I18" i="7"/>
  <c r="I19" i="7"/>
  <c r="G15" i="7"/>
  <c r="G19" i="7"/>
  <c r="C14" i="2"/>
  <c r="C44" i="2" s="1"/>
  <c r="D43" i="2"/>
  <c r="G27" i="2"/>
  <c r="H27" i="2"/>
  <c r="I27" i="2"/>
  <c r="J27" i="2"/>
  <c r="K27" i="2"/>
  <c r="L27" i="2"/>
  <c r="M27" i="2"/>
  <c r="C42" i="2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5" i="2"/>
  <c r="F32" i="2"/>
  <c r="C13" i="2"/>
  <c r="C12" i="2" s="1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/>
  <c r="E31" i="1"/>
  <c r="E27" i="1"/>
  <c r="G30" i="1"/>
  <c r="E30" i="1"/>
  <c r="I28" i="1"/>
  <c r="I6" i="1"/>
  <c r="C2" i="1"/>
  <c r="D33" i="2"/>
  <c r="D34" i="2"/>
  <c r="E33" i="2"/>
  <c r="E34" i="2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3" i="2"/>
  <c r="C23" i="4"/>
  <c r="E42" i="5"/>
  <c r="E30" i="5"/>
  <c r="F16" i="2"/>
  <c r="F45" i="2"/>
  <c r="K15" i="2"/>
  <c r="L16" i="2"/>
  <c r="L45" i="2"/>
  <c r="L15" i="2"/>
  <c r="M16" i="2"/>
  <c r="M45" i="2"/>
  <c r="F15" i="2"/>
  <c r="G15" i="2"/>
  <c r="J15" i="2"/>
  <c r="C46" i="2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E13" i="2" s="1"/>
  <c r="E12" i="2" s="1"/>
  <c r="I14" i="2"/>
  <c r="K13" i="2"/>
  <c r="K12" i="2"/>
  <c r="C33" i="2"/>
  <c r="C34" i="2"/>
  <c r="E55" i="5"/>
  <c r="C25" i="4"/>
  <c r="I16" i="2"/>
  <c r="I45" i="2"/>
  <c r="I44" i="2"/>
  <c r="D16" i="2"/>
  <c r="D45" i="2" s="1"/>
  <c r="E49" i="5"/>
  <c r="H15" i="2"/>
  <c r="I15" i="2"/>
  <c r="E15" i="2"/>
  <c r="F12" i="2"/>
  <c r="H17" i="2"/>
  <c r="F17" i="2"/>
  <c r="E36" i="5"/>
  <c r="K17" i="2"/>
  <c r="J17" i="2"/>
  <c r="G17" i="2"/>
  <c r="I13" i="2"/>
  <c r="I12" i="2"/>
  <c r="L17" i="2"/>
  <c r="C27" i="4"/>
  <c r="E35" i="2"/>
  <c r="E62" i="5"/>
  <c r="I17" i="2"/>
  <c r="E6" i="5"/>
  <c r="F16" i="1"/>
  <c r="E5" i="5"/>
  <c r="I36" i="1"/>
  <c r="C13" i="7" l="1"/>
  <c r="F18" i="1"/>
  <c r="E5" i="4"/>
  <c r="E14" i="4"/>
  <c r="E13" i="4"/>
  <c r="E8" i="4"/>
  <c r="E9" i="4" s="1"/>
  <c r="E15" i="4" s="1"/>
  <c r="E9" i="7"/>
  <c r="E13" i="7"/>
  <c r="E10" i="7"/>
  <c r="E12" i="7" s="1"/>
  <c r="E17" i="7" s="1"/>
  <c r="E18" i="7" s="1"/>
  <c r="E20" i="7" s="1"/>
  <c r="F14" i="4"/>
  <c r="F8" i="4"/>
  <c r="F9" i="4" s="1"/>
  <c r="F15" i="4" s="1"/>
  <c r="F13" i="4"/>
  <c r="F5" i="4"/>
  <c r="D4" i="7"/>
  <c r="C12" i="7"/>
  <c r="C17" i="7" s="1"/>
  <c r="E40" i="3"/>
  <c r="E42" i="3" s="1"/>
  <c r="D42" i="3" s="1"/>
  <c r="E58" i="3"/>
  <c r="D58" i="3" s="1"/>
  <c r="I6" i="3"/>
  <c r="C25" i="3"/>
  <c r="I7" i="3" s="1"/>
  <c r="C46" i="3"/>
  <c r="E3" i="3" s="1"/>
  <c r="E25" i="3"/>
  <c r="D25" i="3" s="1"/>
  <c r="C19" i="4"/>
  <c r="D19" i="4" s="1"/>
  <c r="D24" i="3"/>
  <c r="I8" i="3"/>
  <c r="C45" i="3"/>
  <c r="D59" i="3"/>
  <c r="C18" i="4"/>
  <c r="D18" i="4" s="1"/>
  <c r="E44" i="3"/>
  <c r="I24" i="3"/>
  <c r="J24" i="3" s="1"/>
  <c r="E26" i="3"/>
  <c r="C3" i="4"/>
  <c r="E3" i="7"/>
  <c r="D3" i="4" s="1"/>
  <c r="E50" i="3"/>
  <c r="D44" i="2"/>
  <c r="D60" i="3"/>
  <c r="E44" i="2"/>
  <c r="E16" i="2"/>
  <c r="D13" i="2"/>
  <c r="D12" i="2" s="1"/>
  <c r="D15" i="2"/>
  <c r="D17" i="2"/>
  <c r="D35" i="2"/>
  <c r="C16" i="2"/>
  <c r="C15" i="2"/>
  <c r="D49" i="3"/>
  <c r="C21" i="4"/>
  <c r="D50" i="3"/>
  <c r="G13" i="4"/>
  <c r="C11" i="1"/>
  <c r="E15" i="7" l="1"/>
  <c r="D4" i="4"/>
  <c r="F21" i="4" s="1"/>
  <c r="E19" i="7"/>
  <c r="C15" i="7"/>
  <c r="E16" i="7"/>
  <c r="C20" i="7"/>
  <c r="I25" i="3"/>
  <c r="J25" i="3" s="1"/>
  <c r="E46" i="3"/>
  <c r="D46" i="3" s="1"/>
  <c r="D26" i="3"/>
  <c r="E45" i="3"/>
  <c r="D44" i="3"/>
  <c r="I44" i="3"/>
  <c r="J44" i="3" s="1"/>
  <c r="E17" i="2"/>
  <c r="E45" i="2"/>
  <c r="C45" i="2"/>
  <c r="C17" i="2"/>
  <c r="F4" i="2"/>
  <c r="C35" i="2"/>
  <c r="D21" i="4"/>
  <c r="G21" i="4" s="1"/>
  <c r="G18" i="4"/>
  <c r="G19" i="4" l="1"/>
  <c r="H16" i="1" s="1"/>
  <c r="C4" i="4"/>
  <c r="C19" i="7"/>
  <c r="D7" i="4"/>
  <c r="D8" i="4" s="1"/>
  <c r="D5" i="4"/>
  <c r="D14" i="4"/>
  <c r="G14" i="4" s="1"/>
  <c r="D6" i="3"/>
  <c r="D45" i="3"/>
  <c r="I45" i="3"/>
  <c r="J45" i="3" s="1"/>
  <c r="J26" i="3" s="1"/>
  <c r="D18" i="5" s="1"/>
  <c r="E20" i="4" l="1"/>
  <c r="D9" i="4"/>
  <c r="G8" i="4"/>
  <c r="G9" i="4" s="1"/>
  <c r="C7" i="4"/>
  <c r="C8" i="4" s="1"/>
  <c r="C9" i="4" s="1"/>
  <c r="C10" i="4" s="1"/>
  <c r="J10" i="1"/>
  <c r="E64" i="5"/>
  <c r="E18" i="5"/>
  <c r="E6" i="3"/>
  <c r="D7" i="3"/>
  <c r="J18" i="1"/>
  <c r="J16" i="1"/>
  <c r="E25" i="4" l="1"/>
  <c r="F25" i="4" s="1"/>
  <c r="G25" i="4" s="1"/>
  <c r="E27" i="4"/>
  <c r="F27" i="4" s="1"/>
  <c r="G27" i="4" s="1"/>
  <c r="G12" i="4"/>
  <c r="G15" i="4" s="1"/>
  <c r="E26" i="4"/>
  <c r="F26" i="4" s="1"/>
  <c r="G26" i="4" s="1"/>
  <c r="E30" i="4" s="1"/>
  <c r="D10" i="4"/>
  <c r="D15" i="4"/>
  <c r="C34" i="4"/>
  <c r="G29" i="4"/>
  <c r="D64" i="5"/>
  <c r="E7" i="5" s="1"/>
  <c r="D7" i="5" s="1"/>
  <c r="D8" i="5" s="1"/>
  <c r="E8" i="5" s="1"/>
  <c r="F39" i="1" s="1"/>
  <c r="F41" i="1"/>
  <c r="C30" i="4" l="1"/>
  <c r="E34" i="4"/>
  <c r="F34" i="4"/>
  <c r="D30" i="4" l="1"/>
  <c r="C33" i="4"/>
  <c r="F14" i="1"/>
  <c r="I35" i="1" s="1"/>
  <c r="D14" i="1"/>
  <c r="H14" i="1" l="1"/>
  <c r="B17" i="1" s="1"/>
  <c r="F45" i="1" s="1"/>
  <c r="E33" i="4"/>
  <c r="F33" i="4"/>
  <c r="F42" i="1" l="1"/>
  <c r="E42" i="1" s="1"/>
  <c r="F48" i="1" s="1"/>
  <c r="C31" i="1"/>
  <c r="C30" i="1"/>
  <c r="F46" i="1"/>
  <c r="F49" i="1" s="1"/>
  <c r="D16" i="1"/>
  <c r="F17" i="1"/>
  <c r="D17" i="1"/>
  <c r="J25" i="1" s="1"/>
  <c r="D18" i="1"/>
  <c r="J17" i="1"/>
  <c r="D49" i="1"/>
  <c r="C27" i="1" l="1"/>
  <c r="I27" i="1" s="1"/>
  <c r="I31" i="1"/>
  <c r="I32" i="1" s="1"/>
  <c r="I33" i="1" s="1"/>
  <c r="E32" i="1"/>
  <c r="E33" i="1" s="1"/>
  <c r="E49" i="1"/>
  <c r="E50" i="1"/>
  <c r="F50" i="1" s="1"/>
  <c r="B50" i="1"/>
  <c r="C50" i="1"/>
</calcChain>
</file>

<file path=xl/sharedStrings.xml><?xml version="1.0" encoding="utf-8"?>
<sst xmlns="http://schemas.openxmlformats.org/spreadsheetml/2006/main" count="412" uniqueCount="347">
  <si>
    <t>Company Info:</t>
  </si>
  <si>
    <t>Ticker:</t>
  </si>
  <si>
    <t>Listing Location:</t>
  </si>
  <si>
    <t>Ticker Name:</t>
  </si>
  <si>
    <t>Current Price: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</si>
  <si>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</si>
  <si>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</si>
  <si>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</si>
  <si>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</si>
  <si>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</si>
  <si>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</si>
  <si>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</si>
  <si>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</si>
  <si>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</si>
  <si>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</si>
  <si>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</si>
  <si>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</si>
  <si>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</si>
  <si>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</si>
  <si>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</si>
  <si>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</si>
  <si>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</si>
  <si>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</si>
  <si>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</si>
  <si>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</si>
  <si>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</si>
  <si>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</si>
  <si>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</si>
  <si>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</si>
  <si>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</si>
  <si>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</si>
  <si>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</si>
  <si>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</si>
  <si>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</si>
  <si>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</si>
  <si>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</si>
  <si>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</si>
  <si>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</si>
  <si>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</si>
  <si>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</si>
  <si>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</si>
  <si>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</si>
  <si>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</si>
  <si>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</si>
  <si>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</si>
  <si>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</si>
  <si>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</si>
  <si>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</si>
  <si>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</si>
  <si>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</si>
  <si>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</si>
  <si>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</si>
  <si>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</si>
  <si>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</si>
  <si>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</si>
  <si>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</si>
  <si>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</si>
  <si>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</si>
  <si>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</si>
  <si>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</si>
  <si>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</si>
  <si>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</si>
  <si>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</si>
  <si>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</si>
  <si>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</si>
  <si>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</si>
  <si>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</si>
  <si>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</si>
  <si>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</si>
  <si>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</si>
  <si>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</si>
  <si>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</si>
  <si>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</si>
  <si>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</si>
  <si>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</si>
  <si>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</si>
  <si>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</si>
  <si>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</si>
  <si>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</si>
  <si>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</si>
  <si>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</si>
  <si>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</si>
  <si>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</si>
  <si>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</si>
  <si>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</si>
  <si>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</si>
  <si>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</si>
  <si>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</si>
  <si>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</si>
  <si>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</si>
  <si>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</si>
  <si>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</si>
  <si>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</si>
  <si>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</si>
  <si>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</si>
  <si>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</si>
  <si>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</si>
  <si>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</si>
  <si>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</si>
  <si>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</si>
  <si>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</si>
  <si>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</si>
  <si>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</si>
  <si>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</si>
  <si>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</si>
  <si>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</si>
  <si>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</si>
  <si>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</si>
  <si>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</si>
  <si>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</si>
  <si>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</si>
  <si>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</si>
  <si>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</si>
  <si>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</si>
  <si>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</si>
  <si>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</si>
  <si>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</si>
  <si>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</si>
  <si>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</si>
  <si>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</si>
  <si>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</si>
  <si>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</si>
  <si>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</si>
  <si>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</si>
  <si>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</si>
  <si>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</si>
  <si>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</si>
  <si>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</si>
  <si>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</si>
  <si>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</si>
  <si>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</si>
  <si>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</si>
  <si>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</si>
  <si>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</si>
  <si>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</si>
  <si>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</si>
  <si>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</si>
  <si>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</si>
  <si>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</si>
  <si>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</si>
  <si>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</si>
  <si>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</si>
  <si>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</si>
  <si>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</si>
  <si>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</si>
  <si>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</si>
  <si>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</si>
  <si>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</si>
  <si>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</si>
  <si>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</si>
  <si>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</si>
  <si>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</si>
  <si>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</si>
  <si>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</si>
  <si>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</si>
  <si>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</si>
  <si>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</si>
  <si>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</si>
  <si>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</si>
  <si>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</si>
  <si>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</si>
  <si>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</si>
  <si>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</si>
  <si>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</si>
  <si>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</si>
  <si>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</si>
  <si>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</si>
  <si>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</si>
  <si>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</si>
  <si>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</si>
  <si>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</si>
  <si>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</si>
  <si>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</si>
  <si>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</si>
  <si>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</si>
  <si>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</si>
  <si>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</si>
  <si>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</si>
  <si>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</si>
  <si>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</si>
  <si>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</si>
  <si>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</si>
  <si>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</si>
  <si>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</si>
  <si>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</si>
  <si>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</si>
  <si>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</si>
  <si>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</si>
  <si>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</si>
  <si>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</si>
  <si>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</si>
  <si>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</si>
  <si>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</si>
  <si>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</si>
  <si>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</si>
  <si>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</si>
  <si>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</si>
  <si>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</si>
  <si>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</si>
  <si>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</si>
  <si>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</si>
  <si>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</si>
  <si>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</si>
  <si>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</si>
  <si>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</si>
  <si>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</si>
  <si>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</si>
  <si>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</si>
  <si>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</si>
  <si>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</si>
  <si>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</si>
  <si>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</si>
  <si>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</si>
  <si>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</si>
  <si>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</si>
  <si>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</si>
  <si>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</si>
  <si>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</si>
  <si>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</si>
  <si>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</si>
  <si>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</si>
  <si>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</si>
  <si>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</si>
  <si>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</si>
  <si>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</si>
  <si>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</si>
  <si>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</si>
  <si>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</si>
  <si>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</si>
  <si>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</si>
  <si>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</si>
  <si>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</si>
  <si>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</si>
  <si>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</si>
  <si>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</si>
  <si>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</si>
  <si>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</si>
  <si>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</si>
  <si>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</si>
  <si>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</si>
  <si>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</si>
  <si>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</si>
  <si>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</si>
  <si>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</si>
  <si>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</si>
  <si>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</si>
  <si>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</si>
  <si>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</si>
  <si>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</si>
  <si>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</si>
  <si>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</si>
  <si>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</si>
  <si>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</si>
  <si>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</si>
  <si>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</si>
  <si>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</si>
  <si>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</si>
  <si>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</si>
  <si>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</si>
  <si>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</si>
  <si>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</si>
  <si>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</si>
  <si>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</si>
  <si>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</si>
  <si>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</si>
  <si>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</si>
  <si>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</si>
  <si>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</si>
  <si>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</si>
  <si>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</si>
  <si>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</si>
  <si>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</si>
  <si>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</si>
  <si>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</si>
  <si>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</si>
  <si>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</si>
  <si>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</si>
  <si>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</si>
  <si>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</si>
  <si>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</si>
  <si>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</si>
  <si>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</si>
  <si>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</si>
  <si>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</si>
  <si>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</si>
  <si>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</si>
  <si>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</si>
  <si>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</si>
  <si>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</si>
  <si>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</si>
  <si>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</si>
  <si>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</si>
  <si>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</si>
  <si>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</si>
  <si>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</si>
  <si>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</si>
  <si>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</si>
  <si>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</si>
  <si>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</si>
  <si>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</si>
  <si>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</si>
  <si>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</si>
  <si>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</si>
  <si>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</si>
  <si>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</si>
  <si>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</si>
  <si>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</si>
  <si>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</si>
  <si>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</si>
  <si>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</si>
  <si>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</si>
  <si>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</si>
  <si>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</si>
  <si>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</si>
  <si>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</si>
  <si>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</si>
  <si>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</si>
  <si>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</si>
  <si>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</si>
  <si>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</si>
  <si>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</si>
  <si>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</si>
  <si>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</si>
  <si>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</si>
  <si>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</si>
  <si>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</si>
  <si>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</si>
  <si>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</si>
  <si>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</si>
  <si>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</si>
  <si>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</si>
  <si>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</si>
  <si>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>CNY</t>
  </si>
  <si>
    <t>家居護理</t>
  </si>
  <si>
    <t>個人護理</t>
  </si>
  <si>
    <t>寵物產品</t>
  </si>
  <si>
    <t>其他</t>
  </si>
  <si>
    <t>Consumer Discretionary, 12.4y</t>
  </si>
  <si>
    <t>Worst Case Asset Value</t>
  </si>
  <si>
    <t>= Net Non-operating Assets per share</t>
  </si>
  <si>
    <t>4. Is the upside very attractive? (20%+ is attractive)</t>
  </si>
  <si>
    <t>603610.SS</t>
  </si>
  <si>
    <t>SHH</t>
  </si>
  <si>
    <t>Quarter</t>
  </si>
  <si>
    <t>智能电动床</t>
  </si>
  <si>
    <t>KEESON TECHNOLOGY</t>
  </si>
  <si>
    <t>Fast Growers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</si>
</sst>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3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6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16" zoomScaleNormal="100" workbookViewId="0">
      <selection activeCell="G23" sqref="G23:J23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307" t="str">
        <f>C3&amp;" : "&amp;C4</f>
        <v>603610.SS : KEESON TECHNOLOGY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96" t="s">
        <v>341</v>
      </c>
      <c r="D3" s="397"/>
      <c r="E3" s="15"/>
      <c r="G3" s="7" t="s">
        <v>2</v>
      </c>
      <c r="I3" s="408" t="s">
        <v>342</v>
      </c>
      <c r="J3" s="409"/>
    </row>
    <row r="4" spans="1:12" ht="15.75" customHeight="1">
      <c r="B4" s="5" t="s">
        <v>3</v>
      </c>
      <c r="C4" s="398" t="s">
        <v>345</v>
      </c>
      <c r="D4" s="399"/>
      <c r="E4" s="6"/>
      <c r="G4" s="5" t="s">
        <v>4</v>
      </c>
      <c r="I4" s="32">
        <v>11.88</v>
      </c>
      <c r="J4" s="33" t="s">
        <v>332</v>
      </c>
      <c r="K4" s="152"/>
    </row>
    <row r="5" spans="1:12" ht="15.75" customHeight="1">
      <c r="B5" s="5" t="s">
        <v>5</v>
      </c>
      <c r="C5" s="400">
        <v>45029</v>
      </c>
      <c r="D5" s="399"/>
      <c r="E5" s="122" t="str">
        <f ca="1">IF(C5+30&gt;=TODAY(),"Patience Premium","")</f>
        <v>Patience Premium</v>
      </c>
      <c r="G5" s="5" t="s">
        <v>6</v>
      </c>
      <c r="I5" s="392">
        <v>358488992</v>
      </c>
      <c r="J5" s="393"/>
      <c r="K5" s="151"/>
      <c r="L5" s="85"/>
    </row>
    <row r="6" spans="1:12" ht="15.75" customHeight="1">
      <c r="B6" s="12" t="s">
        <v>246</v>
      </c>
      <c r="C6" s="269">
        <v>8</v>
      </c>
      <c r="D6" s="270">
        <f>EOMONTH(EDATE(Asset_Model!D9,C6),0)</f>
        <v>45077</v>
      </c>
      <c r="E6" s="352">
        <f>IF(Asset_Model!E9="FY",Asset_Model!D9,Data!C3)</f>
        <v>44561</v>
      </c>
      <c r="G6" s="134" t="s">
        <v>7</v>
      </c>
      <c r="H6" s="133"/>
      <c r="I6" s="410">
        <f>I4*I5/1000000</f>
        <v>4258.8492249600004</v>
      </c>
      <c r="J6" s="411"/>
      <c r="K6" s="151"/>
    </row>
    <row r="7" spans="1:12" ht="15.75" customHeight="1">
      <c r="B7" s="139" t="s">
        <v>8</v>
      </c>
      <c r="C7" s="145">
        <f>(Data!C39*Exchange_Rate)/I4</f>
        <v>2.5390159004986985E-2</v>
      </c>
      <c r="D7" s="145">
        <f>(Data!C40*Exchange_Rate)/I4</f>
        <v>0</v>
      </c>
      <c r="E7" s="153"/>
      <c r="F7" s="6"/>
    </row>
    <row r="8" spans="1:12" ht="15.75" customHeight="1">
      <c r="C8" s="96"/>
      <c r="E8" s="6"/>
      <c r="G8" s="21" t="s">
        <v>9</v>
      </c>
      <c r="H8" s="132"/>
      <c r="I8" s="6"/>
      <c r="J8" s="6"/>
    </row>
    <row r="9" spans="1:12" ht="15.75" customHeight="1">
      <c r="B9" s="21" t="s">
        <v>10</v>
      </c>
      <c r="C9" s="300"/>
      <c r="D9" s="298"/>
      <c r="E9" s="5"/>
      <c r="G9" s="5" t="s">
        <v>11</v>
      </c>
      <c r="I9" s="121">
        <f>IF(Data!F3&lt;=0,"NNI",I4/((Data!F3*I12)/(I5/Data!C4)))</f>
        <v>11.925577831040524</v>
      </c>
      <c r="J9" s="48">
        <f>IF(I9="NNI","NNI",1/I9)</f>
        <v>8.385337919619687E-2</v>
      </c>
    </row>
    <row r="10" spans="1:12" ht="15.75" customHeight="1">
      <c r="B10" s="3" t="s">
        <v>263</v>
      </c>
      <c r="C10" s="299" t="s">
        <v>264</v>
      </c>
      <c r="D10" s="299">
        <v>2.8999999999999998E-2</v>
      </c>
      <c r="E10" s="5"/>
      <c r="G10" s="5" t="s">
        <v>12</v>
      </c>
      <c r="I10" s="138">
        <f>I4/(Data!C28*I12*Data!C4/Common_Shares)</f>
        <v>1.3262421366179786</v>
      </c>
      <c r="J10" s="130" t="str">
        <f>IF(Asset_Model!D60/'FCFF Model'!C4&lt;0,"Negative EV",Asset_Model!D60/'FCFF Model'!C4)</f>
        <v>Negative EV</v>
      </c>
    </row>
    <row r="11" spans="1:12" ht="15.75" customHeight="1" thickBot="1">
      <c r="B11" s="312" t="s">
        <v>265</v>
      </c>
      <c r="C11" s="422">
        <f ca="1">C12-D10</f>
        <v>6.7000000000000004E-2</v>
      </c>
      <c r="D11" s="423"/>
      <c r="E11" s="13"/>
      <c r="G11" s="5" t="s">
        <v>13</v>
      </c>
      <c r="H11" s="6"/>
      <c r="I11" s="420" t="s">
        <v>332</v>
      </c>
      <c r="J11" s="421"/>
    </row>
    <row r="12" spans="1:12" ht="15.75" customHeight="1" thickTop="1">
      <c r="B12" s="313" t="s">
        <v>143</v>
      </c>
      <c r="C12" s="424">
        <f ca="1">IF(C10="CN",8%,6%)*IF($C$5+30&gt;=TODAY(),1.2,1)</f>
        <v>9.6000000000000002E-2</v>
      </c>
      <c r="D12" s="425"/>
      <c r="G12" s="134" t="s">
        <v>14</v>
      </c>
      <c r="H12" s="133"/>
      <c r="I12" s="135">
        <v>1</v>
      </c>
      <c r="J12" s="136" t="str">
        <f>IF(I11=Dashboard!J4,J4,I11&amp;"/"&amp;Dashboard!J4)</f>
        <v>CNY</v>
      </c>
    </row>
    <row r="13" spans="1:12" ht="15.75" customHeight="1"/>
    <row r="14" spans="1:12" ht="15.75" customHeight="1">
      <c r="A14" s="10"/>
      <c r="B14" s="20" t="s">
        <v>15</v>
      </c>
      <c r="C14" s="127" t="s">
        <v>210</v>
      </c>
      <c r="D14" s="184">
        <f ca="1">MIN('FCFF Model'!C30,'FCFF Model'!E30)</f>
        <v>6.9751541978087932</v>
      </c>
      <c r="E14" s="127" t="s">
        <v>225</v>
      </c>
      <c r="F14" s="184">
        <f ca="1">MAX('FCFF Model'!C30,'FCFF Model'!E30)</f>
        <v>14.79</v>
      </c>
      <c r="G14" s="185" t="s">
        <v>22</v>
      </c>
      <c r="H14" s="193">
        <f ca="1">IF('FCFF Model'!C33&lt;0, "Error", 'FCFF Model'!C33)</f>
        <v>10.563869611937482</v>
      </c>
      <c r="I14" s="133"/>
      <c r="J14" s="133"/>
    </row>
    <row r="15" spans="1:12" ht="15.75" customHeight="1">
      <c r="A15" s="6"/>
      <c r="B15" s="234" t="str">
        <f>"(in "&amp;J4&amp;")"</f>
        <v>(in CNY)</v>
      </c>
      <c r="C15" s="238" t="s">
        <v>240</v>
      </c>
      <c r="D15" s="89" t="s">
        <v>17</v>
      </c>
      <c r="E15" s="89" t="s">
        <v>18</v>
      </c>
      <c r="F15" s="89" t="s">
        <v>19</v>
      </c>
      <c r="G15" s="139"/>
      <c r="H15" s="60" t="s">
        <v>21</v>
      </c>
      <c r="J15" s="128" t="s">
        <v>20</v>
      </c>
    </row>
    <row r="16" spans="1:12" ht="15.75" customHeight="1">
      <c r="B16" s="131">
        <f>I4</f>
        <v>11.88</v>
      </c>
      <c r="C16" s="431">
        <v>0.1</v>
      </c>
      <c r="D16" s="159">
        <f ca="1">IF(B17='FCFF Model'!G29,"Net Asset", H14/B16-1-C16)</f>
        <v>-0.21078538620054868</v>
      </c>
      <c r="E16" s="428">
        <f>'FCFF Model'!D11*Exchange_Rate</f>
        <v>0.22</v>
      </c>
      <c r="F16" s="161">
        <f>E16/B16</f>
        <v>1.8518518518518517E-2</v>
      </c>
      <c r="G16" s="415" t="s">
        <v>23</v>
      </c>
      <c r="H16" s="412">
        <f>('FCFF Model'!G19)*Exchange_Rate</f>
        <v>3.296834995786138</v>
      </c>
      <c r="I16" s="415" t="s">
        <v>24</v>
      </c>
      <c r="J16" s="206">
        <f>B16-$H$16</f>
        <v>8.5831650042138623</v>
      </c>
    </row>
    <row r="17" spans="1:10" ht="15.75" customHeight="1">
      <c r="B17" s="289">
        <f ca="1">MAX(H14/(1+C16),'FCFF Model'!G29)</f>
        <v>9.6035178290340735</v>
      </c>
      <c r="C17" s="432"/>
      <c r="D17" s="288">
        <f ca="1">IF(B17='FCFF Model'!G29,"Net Asset",H14/B17-1-C16)</f>
        <v>8.3266726846886741E-17</v>
      </c>
      <c r="E17" s="429"/>
      <c r="F17" s="162">
        <f ca="1">E16/B17</f>
        <v>2.290827214740827E-2</v>
      </c>
      <c r="G17" s="416"/>
      <c r="H17" s="413"/>
      <c r="I17" s="416"/>
      <c r="J17" s="205">
        <f ca="1">B17-$H$16</f>
        <v>6.306682833247935</v>
      </c>
    </row>
    <row r="18" spans="1:10" ht="15.75" customHeight="1">
      <c r="B18" s="355">
        <f>C35</f>
        <v>0</v>
      </c>
      <c r="C18" s="433"/>
      <c r="D18" s="160" t="e">
        <f ca="1">IF(B17='FCFF Model'!G29,"NA: "&amp;ROUND('FCFF Model'!G29/B18-1,2)*100&amp;"%", H14/B18-1-C16)</f>
        <v>#DIV/0!</v>
      </c>
      <c r="E18" s="430"/>
      <c r="F18" s="163" t="e">
        <f>E16/B18</f>
        <v>#DIV/0!</v>
      </c>
      <c r="G18" s="417"/>
      <c r="H18" s="414"/>
      <c r="I18" s="417"/>
      <c r="J18" s="207">
        <f>B18-$H$16</f>
        <v>-3.296834995786138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244</v>
      </c>
      <c r="D20" s="290" t="s">
        <v>346</v>
      </c>
      <c r="E20" s="266" t="s">
        <v>254</v>
      </c>
      <c r="G20" s="6"/>
      <c r="H20" s="6"/>
      <c r="I20" s="357"/>
    </row>
    <row r="21" spans="1:10" ht="15.75" customHeight="1">
      <c r="A21" s="6"/>
      <c r="B21" s="24" t="s">
        <v>26</v>
      </c>
      <c r="C21" s="403" t="s">
        <v>344</v>
      </c>
      <c r="D21" s="404"/>
      <c r="E21" s="404"/>
      <c r="F21" s="404"/>
      <c r="G21" s="404"/>
      <c r="H21" s="404"/>
      <c r="I21" s="404"/>
      <c r="J21" s="405"/>
    </row>
    <row r="22" spans="1:10" ht="52.5" customHeight="1">
      <c r="A22" s="6"/>
      <c r="B22" s="24" t="s">
        <v>27</v>
      </c>
      <c r="C22" s="419"/>
      <c r="D22" s="384"/>
      <c r="E22" s="384"/>
      <c r="F22" s="384"/>
      <c r="G22" s="419"/>
      <c r="H22" s="419"/>
      <c r="I22" s="384"/>
      <c r="J22" s="384"/>
    </row>
    <row r="23" spans="1:10" ht="52.5" customHeight="1">
      <c r="A23" s="6"/>
      <c r="B23" s="25" t="s">
        <v>28</v>
      </c>
      <c r="C23" s="406"/>
      <c r="D23" s="407"/>
      <c r="E23" s="407"/>
      <c r="F23" s="407"/>
      <c r="G23" s="406"/>
      <c r="H23" s="406"/>
      <c r="I23" s="407"/>
      <c r="J23" s="407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600000</v>
      </c>
      <c r="E25" s="12"/>
      <c r="F25" s="8" t="s">
        <v>305</v>
      </c>
      <c r="G25" s="12"/>
      <c r="H25" s="353">
        <v>0.15</v>
      </c>
      <c r="I25" s="30" t="s">
        <v>306</v>
      </c>
      <c r="J25" s="354">
        <f ca="1">IF(D17="Asset Play", 'FCFF Model'!G19, H14/(H25+C16+1))</f>
        <v>8.4510956895499856</v>
      </c>
    </row>
    <row r="26" spans="1:10" ht="15.75" customHeight="1">
      <c r="B26" s="23" t="s">
        <v>31</v>
      </c>
      <c r="C26" s="401"/>
      <c r="D26" s="402"/>
      <c r="E26" s="437" t="str">
        <f>IF(C26="","","Action_Planning")</f>
        <v/>
      </c>
      <c r="F26" s="438"/>
      <c r="G26" s="438"/>
      <c r="H26" s="439"/>
      <c r="I26" s="418" t="s">
        <v>32</v>
      </c>
      <c r="J26" s="418"/>
    </row>
    <row r="27" spans="1:10" ht="15.75" customHeight="1">
      <c r="B27" s="23" t="s">
        <v>33</v>
      </c>
      <c r="C27" s="427">
        <f>C31/D25</f>
        <v>0</v>
      </c>
      <c r="D27" s="382"/>
      <c r="E27" s="426">
        <f>E31/D25</f>
        <v>0</v>
      </c>
      <c r="F27" s="382"/>
      <c r="G27" s="435">
        <f>G31/D25</f>
        <v>0</v>
      </c>
      <c r="H27" s="436"/>
      <c r="I27" s="434">
        <f>C27+E27+G27</f>
        <v>0</v>
      </c>
      <c r="J27" s="434"/>
    </row>
    <row r="28" spans="1:10" ht="15.75" customHeight="1">
      <c r="B28" s="23" t="s">
        <v>34</v>
      </c>
      <c r="C28" s="383"/>
      <c r="D28" s="384"/>
      <c r="E28" s="383"/>
      <c r="F28" s="384"/>
      <c r="G28" s="392"/>
      <c r="H28" s="393"/>
      <c r="I28" s="372">
        <f>C28+E28+G28</f>
        <v>0</v>
      </c>
      <c r="J28" s="372"/>
    </row>
    <row r="29" spans="1:10" ht="15.75" customHeight="1">
      <c r="B29" s="23" t="s">
        <v>35</v>
      </c>
      <c r="C29" s="385">
        <v>9.6</v>
      </c>
      <c r="D29" s="384"/>
      <c r="E29" s="385"/>
      <c r="F29" s="384"/>
      <c r="G29" s="386"/>
      <c r="H29" s="387"/>
      <c r="I29" s="394"/>
      <c r="J29" s="394"/>
    </row>
    <row r="30" spans="1:10" ht="15.75" customHeight="1">
      <c r="B30" s="23" t="s">
        <v>36</v>
      </c>
      <c r="C30" s="370">
        <f>C29*$I$5/1000000</f>
        <v>3441.4943231999996</v>
      </c>
      <c r="D30" s="377"/>
      <c r="E30" s="370">
        <f>E29*$I$5/1000000</f>
        <v>0</v>
      </c>
      <c r="F30" s="377"/>
      <c r="G30" s="388">
        <f>G29*$I$5/1000000</f>
        <v>0</v>
      </c>
      <c r="H30" s="389"/>
      <c r="I30" s="395"/>
      <c r="J30" s="395"/>
    </row>
    <row r="31" spans="1:10" ht="15.75" customHeight="1">
      <c r="B31" s="2" t="s">
        <v>37</v>
      </c>
      <c r="C31" s="378">
        <f>C28*C29</f>
        <v>0</v>
      </c>
      <c r="D31" s="379"/>
      <c r="E31" s="371">
        <f>E28*E29</f>
        <v>0</v>
      </c>
      <c r="F31" s="380"/>
      <c r="G31" s="390">
        <f>G28*G29</f>
        <v>0</v>
      </c>
      <c r="H31" s="391"/>
      <c r="I31" s="371">
        <f>C31+E31+G31</f>
        <v>0</v>
      </c>
      <c r="J31" s="371"/>
    </row>
    <row r="32" spans="1:10" ht="15.75" customHeight="1">
      <c r="B32" s="1" t="s">
        <v>38</v>
      </c>
      <c r="C32" s="373"/>
      <c r="D32" s="374"/>
      <c r="E32" s="381" t="str">
        <f>IF(C31=0,"-",(C31+E31)/(C28+E28))</f>
        <v>-</v>
      </c>
      <c r="F32" s="382"/>
      <c r="G32" s="117"/>
      <c r="H32" s="117"/>
      <c r="I32" s="381" t="str">
        <f>IF(I31=0,"",I31/I28)</f>
        <v/>
      </c>
      <c r="J32" s="381"/>
    </row>
    <row r="33" spans="2:11" ht="15.75" customHeight="1">
      <c r="B33" s="1" t="s">
        <v>39</v>
      </c>
      <c r="C33" s="375"/>
      <c r="D33" s="376"/>
      <c r="E33" s="370" t="str">
        <f>IF(E32="-","-",E32*$I$5/1000000)</f>
        <v>-</v>
      </c>
      <c r="F33" s="377"/>
      <c r="G33" s="118"/>
      <c r="H33" s="118"/>
      <c r="I33" s="370" t="str">
        <f>IF(I32="","",I32*$I$5/1000000)</f>
        <v/>
      </c>
      <c r="J33" s="370"/>
    </row>
    <row r="34" spans="2:11" ht="15.75" customHeight="1"/>
    <row r="35" spans="2:11" ht="15.75" customHeight="1">
      <c r="B35" s="146" t="s">
        <v>307</v>
      </c>
      <c r="C35" s="440">
        <f>E29</f>
        <v>0</v>
      </c>
      <c r="D35" s="441"/>
      <c r="G35" s="443" t="s">
        <v>309</v>
      </c>
      <c r="H35" s="444"/>
      <c r="I35" s="440">
        <f ca="1">F14</f>
        <v>14.79</v>
      </c>
      <c r="J35" s="441"/>
    </row>
    <row r="36" spans="2:11" ht="15.75" customHeight="1">
      <c r="B36" s="146" t="s">
        <v>308</v>
      </c>
      <c r="C36" s="383">
        <f>E28</f>
        <v>0</v>
      </c>
      <c r="D36" s="442"/>
      <c r="G36" s="445" t="s">
        <v>319</v>
      </c>
      <c r="H36" s="445"/>
      <c r="I36" s="446">
        <f>IF(C26="",0,I35/C29-1)</f>
        <v>0</v>
      </c>
      <c r="J36" s="447"/>
    </row>
    <row r="37" spans="2:11" ht="15.75" customHeight="1"/>
    <row r="38" spans="2:11" ht="15.75" customHeight="1">
      <c r="B38" s="21" t="s">
        <v>320</v>
      </c>
      <c r="G38" s="346" t="s">
        <v>134</v>
      </c>
      <c r="H38" s="133"/>
      <c r="I38" s="133"/>
      <c r="J38" s="133"/>
      <c r="K38" s="356"/>
    </row>
    <row r="39" spans="2:11" ht="15.75" customHeight="1">
      <c r="B39" s="3" t="s">
        <v>323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>
      <c r="B40" s="3" t="s">
        <v>322</v>
      </c>
      <c r="F40" s="214">
        <f>80%-(5%*IF(LEFT(D20,2)="St",1,IF(LEFT(D20,2)="Sl",2,IF(LEFT(D20,2)="Cy",3,IF(LEFT(D20,2)="Fa",4,IF(LEFT(D20,2)="Tu",5,0))))))</f>
        <v>0.60000000000000009</v>
      </c>
      <c r="G40" s="74"/>
      <c r="H40" s="74"/>
      <c r="I40" s="74"/>
      <c r="J40" s="74"/>
    </row>
    <row r="41" spans="2:11" ht="15.75" customHeight="1">
      <c r="B41" s="3" t="s">
        <v>329</v>
      </c>
      <c r="E41" s="358"/>
      <c r="F41" s="361">
        <f>'Qualitative Analysis'!E64</f>
        <v>0.45921768707482991</v>
      </c>
      <c r="G41" s="364" t="s">
        <v>321</v>
      </c>
      <c r="H41" s="116"/>
      <c r="I41" s="116"/>
      <c r="J41" s="116"/>
    </row>
    <row r="42" spans="2:11" ht="15.75" customHeight="1">
      <c r="B42" s="3" t="s">
        <v>340</v>
      </c>
      <c r="E42" s="358">
        <f ca="1">IF(F42="Strongly disagree",0,IF(F42="disagree",1,IF(F42="So-so",2,IF(F42="agree",3,4))))/4</f>
        <v>1</v>
      </c>
      <c r="F42" s="102" t="str">
        <f ca="1">IF(F45&lt;D10,"Strongly Disagree",IF(F45&lt;10%,"Disagree",IF(F45&gt;=30%,"Strongly Agree",IF(F45&gt;=20%,"Agree","So-so"))))</f>
        <v>Strongly Agree</v>
      </c>
      <c r="G42" s="74" t="s">
        <v>324</v>
      </c>
      <c r="H42" s="74"/>
      <c r="I42" s="74"/>
      <c r="J42" s="74"/>
    </row>
    <row r="43" spans="2:11" ht="15.75" customHeight="1">
      <c r="B43" s="3" t="s">
        <v>331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/>
    <row r="45" spans="2:11" ht="15.75" customHeight="1">
      <c r="B45" s="3" t="s">
        <v>325</v>
      </c>
      <c r="F45" s="365">
        <f ca="1">I35/C29-1</f>
        <v>0.54062499999999991</v>
      </c>
    </row>
    <row r="46" spans="2:11" ht="15.75" customHeight="1">
      <c r="B46" s="3" t="s">
        <v>326</v>
      </c>
      <c r="F46" s="365">
        <f ca="1">D14/C29-1</f>
        <v>-0.27342143772825067</v>
      </c>
    </row>
    <row r="47" spans="2:11" ht="15.75" customHeight="1"/>
    <row r="48" spans="2:11" ht="15.75" customHeight="1">
      <c r="B48" s="3" t="s">
        <v>328</v>
      </c>
      <c r="F48" s="214">
        <f ca="1">IF(F45&lt;=0,0,AVERAGE(F39:F41,1-F43,E42))</f>
        <v>0.607843537414966</v>
      </c>
      <c r="G48" s="74"/>
    </row>
    <row r="49" spans="2:8" ht="15.75" customHeight="1">
      <c r="B49" s="3" t="s">
        <v>327</v>
      </c>
      <c r="D49" s="367">
        <f ca="1">IF(F42="Strongly Agree",2,IF(F42="Agree",3,4))</f>
        <v>2</v>
      </c>
      <c r="E49" s="363">
        <f ca="1">F45/ABS(F46)</f>
        <v>1.977259005335634</v>
      </c>
      <c r="F49" s="360">
        <f ca="1">IF(F46&gt;=0,100,F45/ABS(F46))</f>
        <v>1.977259005335634</v>
      </c>
      <c r="G49" s="74"/>
    </row>
    <row r="50" spans="2:8" ht="15.75" customHeight="1">
      <c r="B50" s="368" t="str">
        <f ca="1">IF(D49=2,"⇒ 1/2 Kelly %",IF(D49=3, "⇒ 1/3 Kelly %", "⇒ 1/4 Kelly %"))</f>
        <v>⇒ 1/2 Kelly %</v>
      </c>
      <c r="C50" s="85" t="str">
        <f ca="1">" [W – (1 – W)/R] /"&amp;D49</f>
        <v xml:space="preserve"> [W – (1 – W)/R] /2</v>
      </c>
      <c r="E50" s="107">
        <f ca="1">MAX(F48-ABS((1-F48)/F49),0)/D49</f>
        <v>0.20475507847448882</v>
      </c>
      <c r="F50" s="359">
        <f ca="1">MIN(E50,H50)</f>
        <v>0.20475507847448882</v>
      </c>
      <c r="G50" s="362" t="s">
        <v>330</v>
      </c>
      <c r="H50" s="78">
        <v>0.4</v>
      </c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54">
    <mergeCell ref="C35:D35"/>
    <mergeCell ref="C36:D36"/>
    <mergeCell ref="I35:J35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phoneticPr fontId="32" type="noConversion"/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5" sqref="D1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9">
        <v>44561</v>
      </c>
      <c r="D3" s="6"/>
      <c r="E3" s="179">
        <v>1</v>
      </c>
      <c r="F3" s="177">
        <f t="array" ref="F3">AVERAGE(C19:INDEX(C19:M19,1,E3))</f>
        <v>357118899</v>
      </c>
      <c r="G3" s="6"/>
      <c r="H3" s="5"/>
      <c r="I3" s="6"/>
      <c r="J3" s="174"/>
      <c r="K3" s="6"/>
      <c r="L3" s="6"/>
      <c r="M3" s="6"/>
    </row>
    <row r="4" spans="1:14" ht="15.75" customHeight="1">
      <c r="A4" s="9"/>
      <c r="B4" s="5" t="s">
        <v>42</v>
      </c>
      <c r="C4" s="35">
        <v>1</v>
      </c>
      <c r="D4" s="6"/>
      <c r="E4" s="41">
        <f>E3</f>
        <v>1</v>
      </c>
      <c r="F4" s="178">
        <f>AVERAGE(C16:INDEX(C16:M16,1,E4))</f>
        <v>716612037</v>
      </c>
      <c r="G4" s="6"/>
      <c r="I4" s="6"/>
      <c r="J4" s="87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>
      <c r="A7" s="9"/>
      <c r="B7" s="43" t="s">
        <v>43</v>
      </c>
      <c r="C7" s="35">
        <v>2966828876</v>
      </c>
      <c r="D7" s="35">
        <v>2259908657</v>
      </c>
      <c r="E7" s="35">
        <v>2529260681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0.31280919996935963</v>
      </c>
      <c r="D8" s="14">
        <f t="shared" si="1"/>
        <v>-0.10649437047884902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>
      <c r="A9" s="9"/>
      <c r="B9" s="44" t="s">
        <v>45</v>
      </c>
      <c r="C9" s="35">
        <v>1914406324</v>
      </c>
      <c r="D9" s="35">
        <v>1400933514</v>
      </c>
      <c r="E9" s="35">
        <v>1535259610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0.35472977916371068</v>
      </c>
      <c r="D10" s="14">
        <f t="shared" si="2"/>
        <v>0.38009285921329167</v>
      </c>
      <c r="E10" s="14">
        <f t="shared" si="2"/>
        <v>0.3930006418345931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335810515</v>
      </c>
      <c r="D11" s="35">
        <v>270267914</v>
      </c>
      <c r="E11" s="35">
        <v>305455378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0.11318836678330887</v>
      </c>
      <c r="D12" s="14">
        <f t="shared" si="3"/>
        <v>0.11959240616334349</v>
      </c>
      <c r="E12" s="14">
        <f t="shared" si="3"/>
        <v>0.12076864211530436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0.2415414123804018</v>
      </c>
      <c r="D13" s="14">
        <f t="shared" si="4"/>
        <v>0.26050045304994818</v>
      </c>
      <c r="E13" s="14">
        <f t="shared" si="4"/>
        <v>0.27223199971928874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716612037</v>
      </c>
      <c r="D14" s="27">
        <f t="shared" si="5"/>
        <v>588707229</v>
      </c>
      <c r="E14" s="27">
        <f t="shared" si="5"/>
        <v>688545693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0.21726386512573298</v>
      </c>
      <c r="D15" s="14">
        <f t="shared" ref="D15:M15" si="6">IF(E14="","",IF(ABS(D14+E14)=ABS(D14)+ABS(E14),IF(D14&lt;0,-1,1)*(D14-E14)/E14,"Turn"))</f>
        <v>-0.14499903930123051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>
      <c r="A16" s="9"/>
      <c r="B16" s="44" t="s">
        <v>52</v>
      </c>
      <c r="C16" s="143">
        <f>IF(C14="","",C14*(1-Operation!$D$18))</f>
        <v>716612037</v>
      </c>
      <c r="D16" s="143">
        <f>IF(D14="","",D14*(1-Operation!$D$18))</f>
        <v>588707229</v>
      </c>
      <c r="E16" s="143">
        <f>IF(E14="","",E14*(1-Operation!$D$18))</f>
        <v>688545693</v>
      </c>
      <c r="F16" s="143" t="str">
        <f>IF(F14="","",F14*(1-Operation!$D$18))</f>
        <v/>
      </c>
      <c r="G16" s="143" t="str">
        <f>IF(G14="","",G14*(1-Operation!$D$18))</f>
        <v/>
      </c>
      <c r="H16" s="143" t="str">
        <f>IF(H14="","",H14*(1-Operation!$D$18))</f>
        <v/>
      </c>
      <c r="I16" s="143" t="str">
        <f>IF(I14="","",I14*(1-Operation!$D$18))</f>
        <v/>
      </c>
      <c r="J16" s="143" t="str">
        <f>IF(J14="","",J14*(1-Operation!$D$18))</f>
        <v/>
      </c>
      <c r="K16" s="143" t="str">
        <f>IF(K14="","",K14*(1-Operation!$D$18))</f>
        <v/>
      </c>
      <c r="L16" s="143" t="str">
        <f>IF(L14="","",L14*(1-Operation!$D$18))</f>
        <v/>
      </c>
      <c r="M16" s="243" t="str">
        <f>IF(M14="","",M14*(1-Operation!$D$18))</f>
        <v/>
      </c>
      <c r="N16" s="6"/>
    </row>
    <row r="17" spans="1:14" ht="15.75" customHeight="1">
      <c r="A17" s="9"/>
      <c r="B17" s="142" t="s">
        <v>53</v>
      </c>
      <c r="C17" s="129">
        <f t="shared" ref="C17:M17" si="7">IF(C7="","",C16/C7)</f>
        <v>0.2415414123804018</v>
      </c>
      <c r="D17" s="129">
        <f t="shared" si="7"/>
        <v>0.26050045304994818</v>
      </c>
      <c r="E17" s="129">
        <f t="shared" si="7"/>
        <v>0.27223199971928874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>
      <c r="A18" s="9"/>
      <c r="B18" s="44" t="s">
        <v>247</v>
      </c>
      <c r="C18" s="144">
        <v>14396543</v>
      </c>
      <c r="D18" s="144">
        <v>366022</v>
      </c>
      <c r="E18" s="144">
        <v>643884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>
      <c r="A19" s="9"/>
      <c r="B19" s="44" t="s">
        <v>54</v>
      </c>
      <c r="C19" s="35">
        <v>357118899</v>
      </c>
      <c r="D19" s="35">
        <v>273431017</v>
      </c>
      <c r="E19" s="35">
        <v>394879710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>
      <c r="A20" s="9"/>
      <c r="B20" s="44" t="s">
        <v>262</v>
      </c>
      <c r="C20" s="14">
        <f>IF(D19="","",IF(ABS(C19+D19)=ABS(C19)+ABS(D19),IF(C19&lt;0,-1,1)*(C19-D19)/D19,"Turn"))</f>
        <v>0.30606579647838561</v>
      </c>
      <c r="D20" s="14">
        <f t="shared" ref="D20:M20" si="8">IF(E19="","",IF(ABS(D19+E19)=ABS(D19)+ABS(E19),IF(D19&lt;0,-1,1)*(D19-E19)/E19,"Turn"))</f>
        <v>-0.30755870692875054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>
      <c r="A21" s="9"/>
      <c r="B21" s="44" t="s">
        <v>55</v>
      </c>
      <c r="C21" s="176">
        <v>2874106089</v>
      </c>
      <c r="D21" s="35">
        <v>2650297682</v>
      </c>
      <c r="E21" s="35">
        <v>2715320676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>
      <c r="A22" s="9"/>
      <c r="B22" s="44" t="s">
        <v>56</v>
      </c>
      <c r="C22" s="176">
        <v>985668777</v>
      </c>
      <c r="D22" s="35">
        <v>569793812</v>
      </c>
      <c r="E22" s="35">
        <v>451250385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>
      <c r="A23" s="9"/>
      <c r="B23" s="44" t="s">
        <v>57</v>
      </c>
      <c r="C23" s="176">
        <v>399749490</v>
      </c>
      <c r="D23" s="35">
        <v>10586780</v>
      </c>
      <c r="E23" s="35">
        <v>0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>
      <c r="A24" s="9"/>
      <c r="B24" s="141" t="s">
        <v>58</v>
      </c>
      <c r="C24" s="272">
        <v>0</v>
      </c>
      <c r="D24" s="140">
        <v>0</v>
      </c>
      <c r="E24" s="140">
        <v>0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>
      <c r="A25" s="9"/>
      <c r="B25" s="44" t="s">
        <v>59</v>
      </c>
      <c r="C25" s="176">
        <v>231513888</v>
      </c>
      <c r="D25" s="35">
        <v>0</v>
      </c>
      <c r="E25" s="35">
        <v>91256960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>
      <c r="A26" s="9"/>
      <c r="B26" s="141" t="s">
        <v>60</v>
      </c>
      <c r="C26" s="175">
        <v>231513888</v>
      </c>
      <c r="D26" s="140">
        <v>0</v>
      </c>
      <c r="E26" s="140">
        <v>0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631263378</v>
      </c>
      <c r="D27" s="27">
        <f t="shared" si="9"/>
        <v>10586780</v>
      </c>
      <c r="E27" s="27">
        <f t="shared" si="9"/>
        <v>91256960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>
      <c r="A28" s="9"/>
      <c r="B28" s="44" t="s">
        <v>62</v>
      </c>
      <c r="C28" s="176">
        <v>3211215439</v>
      </c>
      <c r="D28" s="35">
        <v>2960261471</v>
      </c>
      <c r="E28" s="35">
        <v>2847675007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>
      <c r="A29" s="9"/>
      <c r="B29" s="141" t="s">
        <v>204</v>
      </c>
      <c r="C29" s="175">
        <v>3203574204</v>
      </c>
      <c r="D29" s="140">
        <v>2959553443</v>
      </c>
      <c r="E29" s="140">
        <v>2845208017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>
      <c r="A30" s="9"/>
      <c r="B30" s="44" t="s">
        <v>63</v>
      </c>
      <c r="C30" s="176">
        <v>1048523491</v>
      </c>
      <c r="D30" s="35">
        <v>737748619</v>
      </c>
      <c r="E30" s="35">
        <v>593955430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>
      <c r="A31" s="9"/>
      <c r="B31" s="44" t="s">
        <v>226</v>
      </c>
      <c r="C31" s="176">
        <v>1158680890</v>
      </c>
      <c r="D31" s="35">
        <v>1227089358</v>
      </c>
      <c r="E31" s="35">
        <v>1718986757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0.29639285592314879</v>
      </c>
      <c r="D32" s="14">
        <f t="shared" si="10"/>
        <v>0.1949081100211453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>
      <c r="A33" s="9"/>
      <c r="B33" s="44" t="s">
        <v>65</v>
      </c>
      <c r="C33" s="248">
        <f>IF(D7="","",(C7-D7)*Asset_Model!$D$65)</f>
        <v>60512370.746399999</v>
      </c>
      <c r="D33" s="248">
        <f>IF(E7="","",(D7-E7)*Asset_Model!$D$65)</f>
        <v>-23056533.2544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3">
        <f>IF(D7="","",C30-D30+C33+IF($C$49="Yes",C51,0))</f>
        <v>371287242.7464</v>
      </c>
      <c r="D34" s="143">
        <f>IF(E7="","",D30-E30+D33+IF($C$49="Yes",D51,0))</f>
        <v>120736655.7456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>
      <c r="A35" s="9"/>
      <c r="B35" s="247" t="s">
        <v>66</v>
      </c>
      <c r="C35" s="239">
        <f t="shared" ref="C35:M35" si="19">IF(C34="","",C34/C16)</f>
        <v>0.51811471699630407</v>
      </c>
      <c r="D35" s="239">
        <f t="shared" si="19"/>
        <v>0.20508777504004458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8" t="s">
        <v>248</v>
      </c>
      <c r="C37" s="165">
        <v>108132859</v>
      </c>
      <c r="D37" s="165">
        <v>150698672</v>
      </c>
      <c r="E37" s="165">
        <v>73171029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>
      <c r="A38" s="9"/>
      <c r="B38" s="142" t="s">
        <v>68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>
      <c r="A39" s="9"/>
      <c r="B39" s="142" t="s">
        <v>200</v>
      </c>
      <c r="C39" s="170">
        <f t="shared" ref="C39:M39" si="20">IF(C37="","",C37*$C$4/Common_Shares)</f>
        <v>0.3016350889792454</v>
      </c>
      <c r="D39" s="170">
        <f t="shared" si="20"/>
        <v>0.4203718255315354</v>
      </c>
      <c r="E39" s="170">
        <f t="shared" si="20"/>
        <v>0.20410955603345277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>
      <c r="A40" s="9"/>
      <c r="B40" s="169" t="s">
        <v>201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>
      <c r="A41" s="9"/>
      <c r="B41" s="89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7.2095408233368297E-2</v>
      </c>
      <c r="D42" s="48">
        <f t="shared" ref="D42:M42" si="22">IF(D29="","",D25/D29)</f>
        <v>0</v>
      </c>
      <c r="E42" s="48">
        <f t="shared" si="22"/>
        <v>3.2073914966759355E-2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>
      <c r="A43" s="9"/>
      <c r="B43" s="44" t="s">
        <v>243</v>
      </c>
      <c r="C43" s="14">
        <f t="shared" ref="C43:M43" si="23">IF(C29="","",C27/C29)</f>
        <v>0.19704971316468997</v>
      </c>
      <c r="D43" s="14">
        <f t="shared" si="23"/>
        <v>3.5771545281738639E-3</v>
      </c>
      <c r="E43" s="14">
        <f t="shared" si="23"/>
        <v>3.2073914966759355E-2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1.1352029310973273</v>
      </c>
      <c r="D44" s="50">
        <f t="shared" si="24"/>
        <v>55.607770162410098</v>
      </c>
      <c r="E44" s="50">
        <f t="shared" si="24"/>
        <v>7.5451307275631363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2.0089730923679699E-2</v>
      </c>
      <c r="D45" s="14">
        <f t="shared" si="25"/>
        <v>6.2173858578522733E-4</v>
      </c>
      <c r="E45" s="14">
        <f t="shared" si="25"/>
        <v>9.3513619581961425E-4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2.9158944222091354</v>
      </c>
      <c r="D46" s="51">
        <f t="shared" si="26"/>
        <v>4.6513275963762135</v>
      </c>
      <c r="E46" s="51">
        <f t="shared" si="26"/>
        <v>6.0173260040542678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41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39" t="s">
        <v>286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>
      <c r="A52" s="9"/>
      <c r="B52" s="340" t="s">
        <v>287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2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26" sqref="E2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67" t="s">
        <v>79</v>
      </c>
      <c r="C2" s="267"/>
      <c r="D2" s="11"/>
      <c r="E2" s="12"/>
      <c r="F2" s="12"/>
      <c r="G2" s="12"/>
      <c r="H2" s="12"/>
      <c r="I2" s="12"/>
      <c r="K2" s="346" t="s">
        <v>134</v>
      </c>
    </row>
    <row r="3" spans="1:11" ht="15" customHeight="1">
      <c r="B3" s="5" t="s">
        <v>249</v>
      </c>
      <c r="C3" s="6"/>
      <c r="D3" s="273">
        <v>3285454056.2600002</v>
      </c>
      <c r="E3" s="156" t="str">
        <f>IF((C46-I46)=D3,"", "Error!")</f>
        <v/>
      </c>
      <c r="F3" s="6"/>
      <c r="G3" s="6"/>
      <c r="H3" s="274" t="s">
        <v>250</v>
      </c>
      <c r="I3" s="275">
        <v>3279482599.3400002</v>
      </c>
      <c r="K3" s="74"/>
    </row>
    <row r="4" spans="1:11" ht="15" customHeight="1">
      <c r="B4" s="5" t="s">
        <v>219</v>
      </c>
      <c r="C4" s="6"/>
      <c r="D4" s="276">
        <f>D3-I3</f>
        <v>5971456.9200000763</v>
      </c>
      <c r="E4" s="150"/>
      <c r="F4" s="6"/>
      <c r="G4" s="6"/>
      <c r="H4" s="60" t="s">
        <v>80</v>
      </c>
      <c r="I4" s="91">
        <f>(I3*Dashboard!I12*Data!C4)/Dashboard!I5</f>
        <v>9.1480705754557743</v>
      </c>
      <c r="K4" s="74"/>
    </row>
    <row r="5" spans="1:11" ht="15" customHeight="1">
      <c r="D5" s="6"/>
      <c r="E5" s="23" t="s">
        <v>81</v>
      </c>
      <c r="I5" s="6"/>
      <c r="K5" s="74"/>
    </row>
    <row r="6" spans="1:11" ht="15" customHeight="1">
      <c r="B6" s="58" t="s">
        <v>82</v>
      </c>
      <c r="C6" s="6"/>
      <c r="D6" s="59">
        <f>E46-I46-E50+MIN('FCFF Model'!D4,0)</f>
        <v>1541504818.0776973</v>
      </c>
      <c r="E6" s="14">
        <f>1-D6/D3</f>
        <v>0.53080919967802842</v>
      </c>
      <c r="F6" s="6"/>
      <c r="G6" s="6"/>
      <c r="H6" s="3" t="s">
        <v>310</v>
      </c>
      <c r="I6" s="69">
        <f>C26/I26</f>
        <v>4.1109408235618021</v>
      </c>
      <c r="J6" s="6"/>
      <c r="K6" s="74"/>
    </row>
    <row r="7" spans="1:11" ht="15" customHeight="1" thickBot="1">
      <c r="B7" s="53" t="s">
        <v>83</v>
      </c>
      <c r="D7" s="61">
        <f>MAX((D6*Exchange_Rate*Data!C4)/Dashboard!I5, 0)</f>
        <v>4.3000060043062556</v>
      </c>
      <c r="E7" s="49" t="str">
        <f>Dashboard!J4</f>
        <v>CNY</v>
      </c>
      <c r="H7" s="3" t="s">
        <v>311</v>
      </c>
      <c r="I7" s="69">
        <f>C25/I26</f>
        <v>3.1701787831936459</v>
      </c>
      <c r="J7" s="6"/>
      <c r="K7" s="116"/>
    </row>
    <row r="8" spans="1:11" ht="15" customHeight="1">
      <c r="D8" s="6"/>
      <c r="H8" s="3" t="s">
        <v>312</v>
      </c>
      <c r="I8" s="69">
        <f>C24/I26</f>
        <v>2.6158313562899251</v>
      </c>
      <c r="K8" s="74"/>
    </row>
    <row r="9" spans="1:11" ht="15" customHeight="1">
      <c r="A9" s="4"/>
      <c r="B9" s="268" t="s">
        <v>245</v>
      </c>
      <c r="C9" s="255"/>
      <c r="D9" s="271">
        <v>44834</v>
      </c>
      <c r="E9" s="290" t="s">
        <v>343</v>
      </c>
      <c r="F9" s="133"/>
      <c r="G9" s="133"/>
      <c r="H9" s="133"/>
      <c r="I9" s="133"/>
      <c r="K9" s="74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232</v>
      </c>
      <c r="G10" s="6"/>
      <c r="H10" s="63" t="s">
        <v>88</v>
      </c>
      <c r="I10" s="23" t="s">
        <v>85</v>
      </c>
      <c r="K10" s="74"/>
    </row>
    <row r="11" spans="1:11" ht="15" customHeight="1">
      <c r="B11" s="5" t="s">
        <v>89</v>
      </c>
      <c r="C11" s="64">
        <v>1669406156.47</v>
      </c>
      <c r="D11" s="65">
        <v>1</v>
      </c>
      <c r="E11" s="27">
        <f t="shared" ref="E11:E21" si="0">C11*D11</f>
        <v>1669406156.47</v>
      </c>
      <c r="F11" s="6"/>
      <c r="G11" s="6"/>
      <c r="H11" s="5" t="s">
        <v>90</v>
      </c>
      <c r="I11" s="64">
        <v>314998000</v>
      </c>
      <c r="J11" s="6"/>
      <c r="K11" s="74"/>
    </row>
    <row r="12" spans="1:11" ht="14">
      <c r="B12" s="3" t="s">
        <v>91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92</v>
      </c>
      <c r="I12" s="64">
        <v>0</v>
      </c>
      <c r="J12" s="6"/>
      <c r="K12" s="74"/>
    </row>
    <row r="13" spans="1:11" ht="14">
      <c r="B13" s="5" t="s">
        <v>93</v>
      </c>
      <c r="C13" s="64">
        <v>22772090.09</v>
      </c>
      <c r="D13" s="65">
        <v>1</v>
      </c>
      <c r="E13" s="27">
        <f t="shared" si="0"/>
        <v>22772090.09</v>
      </c>
      <c r="F13" s="6"/>
      <c r="G13" s="6"/>
      <c r="H13" s="5" t="s">
        <v>94</v>
      </c>
      <c r="I13" s="64">
        <v>0</v>
      </c>
      <c r="J13" s="6"/>
      <c r="K13" s="77"/>
    </row>
    <row r="14" spans="1:11" ht="14">
      <c r="B14" s="5" t="s">
        <v>95</v>
      </c>
      <c r="C14" s="64">
        <v>223780877.19999999</v>
      </c>
      <c r="D14" s="65">
        <v>0.85</v>
      </c>
      <c r="E14" s="27">
        <f t="shared" si="0"/>
        <v>190213745.61999997</v>
      </c>
      <c r="F14" s="6"/>
      <c r="G14" s="6"/>
      <c r="H14" s="3" t="s">
        <v>96</v>
      </c>
      <c r="I14" s="64">
        <v>0</v>
      </c>
      <c r="J14" s="6"/>
      <c r="K14" s="79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5">
        <f>I26-SUM(I11:I14)</f>
        <v>417449494.80999994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4" t="s">
        <v>233</v>
      </c>
      <c r="G16" s="94">
        <f>IF(F16="Y",0,1)</f>
        <v>0</v>
      </c>
      <c r="H16" s="5"/>
      <c r="I16" s="154"/>
      <c r="J16" s="6"/>
    </row>
    <row r="17" spans="2:10" ht="14">
      <c r="B17" s="5" t="s">
        <v>99</v>
      </c>
      <c r="C17" s="64">
        <f>377245511.86+28784872.23</f>
        <v>406030384.09000003</v>
      </c>
      <c r="D17" s="65">
        <v>0.4</v>
      </c>
      <c r="E17" s="27">
        <f t="shared" si="0"/>
        <v>162412153.63600004</v>
      </c>
      <c r="F17" s="6"/>
      <c r="G17" s="6"/>
      <c r="H17" s="5"/>
      <c r="I17" s="154"/>
      <c r="J17" s="6"/>
    </row>
    <row r="18" spans="2:10" ht="14">
      <c r="B18" s="5" t="s">
        <v>100</v>
      </c>
      <c r="C18" s="64">
        <v>650902892.03999996</v>
      </c>
      <c r="D18" s="65">
        <v>0.2</v>
      </c>
      <c r="E18" s="27">
        <f t="shared" si="0"/>
        <v>130180578.40799999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4" t="s">
        <v>233</v>
      </c>
      <c r="G19" s="94">
        <f>IF(F19="Y",0,1)</f>
        <v>0</v>
      </c>
      <c r="H19" s="5"/>
      <c r="I19" s="154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4" t="s">
        <v>233</v>
      </c>
      <c r="G20" s="94">
        <f>IF(F20="Y",0,1)</f>
        <v>0</v>
      </c>
      <c r="H20" s="5"/>
      <c r="I20" s="154"/>
    </row>
    <row r="21" spans="2:10" ht="14">
      <c r="B21" s="5" t="s">
        <v>103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>
      <c r="B22" s="5" t="s">
        <v>104</v>
      </c>
      <c r="C22" s="64">
        <v>38155907.640000001</v>
      </c>
      <c r="D22" s="65">
        <v>0.2</v>
      </c>
      <c r="E22" s="27">
        <f t="shared" ref="E22" si="1">C22*D22</f>
        <v>7631181.5280000009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1915959123.76</v>
      </c>
      <c r="D24" s="68">
        <f>IF(E24=0,0,E24/C24)</f>
        <v>0.9824802464918323</v>
      </c>
      <c r="E24" s="27">
        <f>SUM(E11:E14)</f>
        <v>1882391992.1799998</v>
      </c>
      <c r="F24" s="6"/>
      <c r="G24" s="6"/>
      <c r="H24" s="66" t="s">
        <v>313</v>
      </c>
      <c r="I24" s="69">
        <f>E24/($I$26-I15)</f>
        <v>5.9758855363526111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2321989507.8499999</v>
      </c>
      <c r="D25" s="68">
        <f>IF(E25=0,0,E25/C25)</f>
        <v>0.88062591967064729</v>
      </c>
      <c r="E25" s="27">
        <f>E24+SUM(E15:E17)</f>
        <v>2044804145.816</v>
      </c>
      <c r="F25" s="6"/>
      <c r="G25" s="6"/>
      <c r="H25" s="66" t="s">
        <v>317</v>
      </c>
      <c r="I25" s="69">
        <f>E25/$I$26</f>
        <v>2.791741606470278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3011048307.5299997</v>
      </c>
      <c r="D26" s="14">
        <f t="shared" ref="D26" si="2">E26/C26</f>
        <v>0.72486910963657925</v>
      </c>
      <c r="E26" s="27">
        <f>SUM(E11:E22)</f>
        <v>2182615905.7519999</v>
      </c>
      <c r="H26" s="5" t="s">
        <v>56</v>
      </c>
      <c r="I26" s="64">
        <v>732447494.80999994</v>
      </c>
      <c r="J26" s="107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232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349000000</v>
      </c>
      <c r="J28" s="6"/>
    </row>
    <row r="29" spans="2:10" ht="15" customHeight="1">
      <c r="B29" s="5" t="s">
        <v>110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111</v>
      </c>
      <c r="I29" s="64">
        <v>223779083.25</v>
      </c>
      <c r="J29" s="6"/>
    </row>
    <row r="30" spans="2:10" ht="15" customHeight="1">
      <c r="B30" s="5" t="s">
        <v>112</v>
      </c>
      <c r="C30" s="64">
        <v>237252750</v>
      </c>
      <c r="D30" s="65">
        <v>0.6</v>
      </c>
      <c r="E30" s="27">
        <f t="shared" si="3"/>
        <v>142351650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4" t="s">
        <v>233</v>
      </c>
      <c r="G31" s="94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5">
        <f>I42-SUM(I28:I31)</f>
        <v>95115669.369999409</v>
      </c>
      <c r="J32" s="6"/>
    </row>
    <row r="33" spans="2:10" ht="14">
      <c r="B33" s="5" t="s">
        <v>117</v>
      </c>
      <c r="C33" s="64">
        <v>126006972.29000001</v>
      </c>
      <c r="D33" s="65">
        <v>0.6</v>
      </c>
      <c r="E33" s="220">
        <f t="shared" si="3"/>
        <v>75604183.373999998</v>
      </c>
      <c r="F33" s="204" t="s">
        <v>234</v>
      </c>
      <c r="G33" s="94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20">
        <f t="shared" si="3"/>
        <v>0</v>
      </c>
      <c r="F34" s="204" t="s">
        <v>233</v>
      </c>
      <c r="G34" s="94">
        <f>IF(F34="Y",0,1)</f>
        <v>0</v>
      </c>
    </row>
    <row r="35" spans="2:10" ht="14">
      <c r="B35" s="3" t="s">
        <v>102</v>
      </c>
      <c r="C35" s="64">
        <v>69591629.930000007</v>
      </c>
      <c r="D35" s="65">
        <v>0.4</v>
      </c>
      <c r="E35" s="27">
        <f t="shared" si="3"/>
        <v>27836651.972000003</v>
      </c>
      <c r="F35" s="204" t="s">
        <v>233</v>
      </c>
      <c r="G35" s="94">
        <f>IF(F35="Y",0,1)</f>
        <v>0</v>
      </c>
    </row>
    <row r="36" spans="2:10" ht="15" customHeight="1">
      <c r="B36" s="5" t="s">
        <v>291</v>
      </c>
      <c r="C36" s="64">
        <f>742653407.83+268565753.77</f>
        <v>1011219161.6</v>
      </c>
      <c r="D36" s="65">
        <v>0.4</v>
      </c>
      <c r="E36" s="27">
        <f t="shared" si="3"/>
        <v>404487664.64000005</v>
      </c>
      <c r="F36" s="6"/>
      <c r="G36" s="6"/>
    </row>
    <row r="37" spans="2:10" ht="14">
      <c r="B37" s="5" t="s">
        <v>292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120422944.31999999</v>
      </c>
      <c r="D38" s="65">
        <v>0.4</v>
      </c>
      <c r="E38" s="27">
        <f t="shared" si="3"/>
        <v>48169177.728</v>
      </c>
      <c r="F38" s="6"/>
      <c r="G38" s="6"/>
    </row>
    <row r="39" spans="2:10" ht="15" customHeight="1">
      <c r="B39" s="5" t="s">
        <v>120</v>
      </c>
      <c r="C39" s="64">
        <v>67854089.439999998</v>
      </c>
      <c r="D39" s="65">
        <v>0.95</v>
      </c>
      <c r="E39" s="27">
        <f t="shared" si="3"/>
        <v>64461384.967999995</v>
      </c>
      <c r="F39" s="6"/>
      <c r="G39" s="6"/>
    </row>
    <row r="40" spans="2:10" ht="15" customHeight="1">
      <c r="B40" s="5" t="s">
        <v>121</v>
      </c>
      <c r="C40" s="64">
        <f>14717565.83+14853330.42+12829552.33</f>
        <v>42400448.579999998</v>
      </c>
      <c r="D40" s="65">
        <v>0.1</v>
      </c>
      <c r="E40" s="27">
        <f t="shared" si="3"/>
        <v>4240044.858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1674747996.1600001</v>
      </c>
      <c r="D42" s="14">
        <f>E42/C42</f>
        <v>0.45806936882383892</v>
      </c>
      <c r="E42" s="27">
        <f>SUM(E28:E40)</f>
        <v>767150757.5400002</v>
      </c>
      <c r="F42" s="6"/>
      <c r="G42" s="6"/>
      <c r="H42" s="5" t="s">
        <v>123</v>
      </c>
      <c r="I42" s="64">
        <v>667894752.61999941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1915959123.76</v>
      </c>
      <c r="D44" s="68">
        <f>IF(E44=0,0,E44/C44)</f>
        <v>0.9824802464918323</v>
      </c>
      <c r="E44" s="27">
        <f>E24+SUM(E28:E29)</f>
        <v>1882391992.1799998</v>
      </c>
      <c r="F44" s="6"/>
      <c r="G44" s="6"/>
      <c r="H44" s="66" t="s">
        <v>314</v>
      </c>
      <c r="I44" s="69">
        <f>E44/(I46-I15-I32)</f>
        <v>2.1203430767652671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2685249230.1399999</v>
      </c>
      <c r="D45" s="68">
        <f>IF(E45=0,0,E45/C45)</f>
        <v>0.84266292819010602</v>
      </c>
      <c r="E45" s="27">
        <f>E44+(E25-E24)+SUM(E30:E33)</f>
        <v>2262759979.1900001</v>
      </c>
      <c r="F45" s="6"/>
      <c r="G45" s="6"/>
      <c r="H45" s="66" t="s">
        <v>318</v>
      </c>
      <c r="I45" s="69">
        <f>E45/$I$46</f>
        <v>1.6158621103824917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4685796303.6899996</v>
      </c>
      <c r="D46" s="14">
        <f>E46/C46</f>
        <v>0.62951235438234898</v>
      </c>
      <c r="E46" s="27">
        <f>E26+E42</f>
        <v>2949766663.2919998</v>
      </c>
      <c r="F46" s="6"/>
      <c r="G46" s="6"/>
      <c r="H46" s="5" t="s">
        <v>315</v>
      </c>
      <c r="I46" s="155">
        <f>I26+I42</f>
        <v>1400342247.4299994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6" t="s">
        <v>203</v>
      </c>
      <c r="C49" s="6"/>
      <c r="D49" s="217" t="str">
        <f>IF(E50=D4,"BV of the MI","P/B Approach")</f>
        <v>P/B Approach</v>
      </c>
      <c r="E49" s="6"/>
    </row>
    <row r="50" spans="2:9" ht="14">
      <c r="B50" s="5" t="s">
        <v>202</v>
      </c>
      <c r="C50" s="218">
        <f>D4</f>
        <v>5971456.9200000763</v>
      </c>
      <c r="D50" s="214">
        <f>IF(E50=0, 0,E50/C50)</f>
        <v>1.3262421366179786</v>
      </c>
      <c r="E50" s="218">
        <f>MAX(C50,C50*Dashboard!I10)</f>
        <v>7919597.7843031147</v>
      </c>
      <c r="I50" s="157"/>
    </row>
    <row r="51" spans="2:9" ht="15" customHeight="1">
      <c r="C51" s="6"/>
      <c r="D51" s="6"/>
      <c r="E51" s="6"/>
    </row>
    <row r="52" spans="2:9" ht="14.5" thickBot="1">
      <c r="B52" s="75" t="s">
        <v>256</v>
      </c>
      <c r="C52" s="5"/>
      <c r="D52" s="448">
        <f>D53+D54+D55</f>
        <v>887777083.25</v>
      </c>
      <c r="E52" s="449"/>
      <c r="F52" s="53"/>
      <c r="G52" s="53"/>
    </row>
    <row r="53" spans="2:9" ht="14.5" thickTop="1">
      <c r="B53" s="58" t="s">
        <v>227</v>
      </c>
      <c r="C53" s="6"/>
      <c r="D53" s="451">
        <f>SUM(I11:I13)+SUM(I28:I30)</f>
        <v>887777083.25</v>
      </c>
      <c r="E53" s="379"/>
      <c r="F53" s="5"/>
      <c r="G53" s="5"/>
      <c r="H53" s="3" t="s">
        <v>316</v>
      </c>
      <c r="I53" s="14">
        <f>D53/I3</f>
        <v>0.27070644723916698</v>
      </c>
    </row>
    <row r="54" spans="2:9" ht="14">
      <c r="B54" s="58" t="s">
        <v>129</v>
      </c>
      <c r="C54" s="6"/>
      <c r="D54" s="456">
        <v>0</v>
      </c>
      <c r="E54" s="384"/>
      <c r="F54" s="6" t="s">
        <v>130</v>
      </c>
      <c r="G54" s="6"/>
    </row>
    <row r="55" spans="2:9" ht="12.75" customHeight="1">
      <c r="B55" s="58" t="s">
        <v>128</v>
      </c>
      <c r="C55" s="6"/>
      <c r="D55" s="456">
        <v>0</v>
      </c>
      <c r="E55" s="384"/>
      <c r="F55" s="5" t="s">
        <v>131</v>
      </c>
      <c r="G55" s="5"/>
    </row>
    <row r="56" spans="2:9" ht="15" customHeight="1">
      <c r="D56" s="6"/>
      <c r="E56" s="6"/>
    </row>
    <row r="57" spans="2:9" ht="14">
      <c r="B57" s="75" t="s">
        <v>132</v>
      </c>
      <c r="C57" s="5"/>
      <c r="D57" s="450"/>
      <c r="E57" s="450"/>
      <c r="F57" s="19"/>
      <c r="G57" s="19"/>
    </row>
    <row r="58" spans="2:9" ht="15" customHeight="1">
      <c r="B58" s="53" t="s">
        <v>228</v>
      </c>
      <c r="C58" s="213">
        <f>C14+C15+(C19*G19)+(C20*G20)+C29+C30+(C31*G31)+(C33*G33)+(C34*G34)+(C35*G35)</f>
        <v>587040599.49000001</v>
      </c>
      <c r="D58" s="129">
        <f>IF(E58=0,0,E58/C58)</f>
        <v>0.69530042615213195</v>
      </c>
      <c r="E58" s="221">
        <f>E14+E15+(E19*G19)+(E20*G20)+E29+E30+(E31*G31)+(E33*G33)+(E34*G34)+(E35*G35)</f>
        <v>408169578.99400002</v>
      </c>
      <c r="H58" s="6"/>
    </row>
    <row r="59" spans="2:9" ht="14">
      <c r="B59" s="53" t="s">
        <v>89</v>
      </c>
      <c r="C59" s="213">
        <f>C11+C12+C28</f>
        <v>1669406156.47</v>
      </c>
      <c r="D59" s="214">
        <f>IF(E59=0,0,E59/C59)</f>
        <v>1</v>
      </c>
      <c r="E59" s="215">
        <f>E11+E12+E28</f>
        <v>1669406156.47</v>
      </c>
      <c r="F59" s="6"/>
      <c r="G59" s="6"/>
    </row>
    <row r="60" spans="2:9" ht="14">
      <c r="B60" s="53" t="s">
        <v>133</v>
      </c>
      <c r="C60" s="6"/>
      <c r="D60" s="454">
        <f>((Dashboard!I6*Data!C4)+D52+E50-C58-C59)</f>
        <v>-1360745816.076472</v>
      </c>
      <c r="E60" s="455"/>
      <c r="F60" s="6"/>
      <c r="G60" s="6"/>
    </row>
    <row r="61" spans="2:9" ht="15" customHeight="1">
      <c r="D61" s="6"/>
      <c r="E61" s="6"/>
    </row>
    <row r="62" spans="2:9" ht="15" customHeight="1">
      <c r="B62" s="291" t="s">
        <v>255</v>
      </c>
    </row>
    <row r="63" spans="2:9" ht="15" customHeight="1">
      <c r="B63" s="3" t="s">
        <v>258</v>
      </c>
      <c r="D63" s="446">
        <f>((C26-C11-C12-C14-C15-C16*G16-C19*G19-C20*G20)-I26)/Data!C7</f>
        <v>0.12990765398293896</v>
      </c>
      <c r="E63" s="447"/>
    </row>
    <row r="64" spans="2:9" ht="15" customHeight="1">
      <c r="B64" s="3" t="s">
        <v>257</v>
      </c>
      <c r="D64" s="452">
        <v>8.5599999999999996E-2</v>
      </c>
      <c r="E64" s="453"/>
      <c r="F64" s="266" t="s">
        <v>242</v>
      </c>
    </row>
    <row r="65" spans="2:5" ht="15" customHeight="1">
      <c r="B65" s="291" t="s">
        <v>259</v>
      </c>
      <c r="D65" s="452">
        <f>D64</f>
        <v>8.5599999999999996E-2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2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C15" sqref="C15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2" t="s">
        <v>239</v>
      </c>
      <c r="C2" s="285" t="s">
        <v>253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>
      <c r="B3" s="29" t="str">
        <f>'FCFF Model'!B3</f>
        <v>(Numbers in 1CNY)</v>
      </c>
      <c r="C3" s="277">
        <f>Dashboard!E6</f>
        <v>44561</v>
      </c>
      <c r="D3" s="28" t="s">
        <v>241</v>
      </c>
      <c r="E3" s="277">
        <f>EOMONTH(EDATE(C3,12),0)</f>
        <v>44926</v>
      </c>
      <c r="F3" s="28" t="s">
        <v>241</v>
      </c>
      <c r="G3" s="277" t="str">
        <f>IF(G9="","",EOMONTH(EDATE(E3,12),0))</f>
        <v/>
      </c>
      <c r="H3" s="28"/>
      <c r="I3" s="277" t="str">
        <f>IF(I16="","",EOMONTH(EDATE(G3,12),0))</f>
        <v/>
      </c>
      <c r="J3" s="296"/>
      <c r="L3" s="72" t="s">
        <v>134</v>
      </c>
    </row>
    <row r="4" spans="1:13" ht="15.75" customHeight="1">
      <c r="B4" s="292" t="s">
        <v>333</v>
      </c>
      <c r="C4" s="293"/>
      <c r="D4" s="260">
        <f>C4/$C$8</f>
        <v>0</v>
      </c>
      <c r="E4" s="293"/>
      <c r="F4" s="260"/>
      <c r="G4" s="222"/>
      <c r="H4" s="260"/>
      <c r="I4" s="222"/>
      <c r="J4" s="286"/>
      <c r="K4" s="6"/>
      <c r="L4" s="74"/>
      <c r="M4" s="57"/>
    </row>
    <row r="5" spans="1:13" ht="15.75" customHeight="1">
      <c r="B5" s="292" t="s">
        <v>334</v>
      </c>
      <c r="C5" s="293"/>
      <c r="D5" s="260">
        <f t="shared" ref="D5:D7" si="0">C5/$C$8</f>
        <v>0</v>
      </c>
      <c r="E5" s="293"/>
      <c r="F5" s="260"/>
      <c r="G5" s="222"/>
      <c r="H5" s="260"/>
      <c r="I5" s="222"/>
      <c r="J5" s="286"/>
      <c r="K5" s="6"/>
      <c r="L5" s="74"/>
      <c r="M5" s="57"/>
    </row>
    <row r="6" spans="1:13" ht="15.75" customHeight="1">
      <c r="B6" s="292" t="s">
        <v>335</v>
      </c>
      <c r="C6" s="293"/>
      <c r="D6" s="260">
        <f t="shared" si="0"/>
        <v>0</v>
      </c>
      <c r="E6" s="293"/>
      <c r="F6" s="260"/>
      <c r="G6" s="222"/>
      <c r="H6" s="260"/>
      <c r="I6" s="222"/>
      <c r="J6" s="286"/>
      <c r="K6" s="6"/>
      <c r="L6" s="74"/>
      <c r="M6" s="57"/>
    </row>
    <row r="7" spans="1:13" ht="15.75" customHeight="1">
      <c r="B7" s="292" t="s">
        <v>336</v>
      </c>
      <c r="C7" s="293"/>
      <c r="D7" s="260">
        <f t="shared" si="0"/>
        <v>0</v>
      </c>
      <c r="E7" s="293"/>
      <c r="F7" s="260"/>
      <c r="G7" s="222"/>
      <c r="H7" s="260"/>
      <c r="I7" s="222"/>
      <c r="J7" s="286"/>
      <c r="K7" s="6"/>
      <c r="L7" s="74"/>
      <c r="M7" s="57"/>
    </row>
    <row r="8" spans="1:13" ht="15.75" customHeight="1">
      <c r="B8" s="5" t="s">
        <v>136</v>
      </c>
      <c r="C8" s="180">
        <f>Data!C7</f>
        <v>2966828876</v>
      </c>
      <c r="D8" s="259"/>
      <c r="E8" s="337">
        <f>C8</f>
        <v>2966828876</v>
      </c>
      <c r="F8" s="259"/>
      <c r="G8" s="337"/>
      <c r="H8" s="259"/>
      <c r="I8" s="228"/>
      <c r="J8" s="287"/>
      <c r="K8" s="6"/>
      <c r="L8" s="74" t="s">
        <v>260</v>
      </c>
      <c r="M8" s="57"/>
    </row>
    <row r="9" spans="1:13" ht="15.75" customHeight="1">
      <c r="B9" s="17" t="s">
        <v>135</v>
      </c>
      <c r="C9" s="187"/>
      <c r="D9" s="261"/>
      <c r="E9" s="18">
        <f>E8/C8-1</f>
        <v>0</v>
      </c>
      <c r="F9" s="261"/>
      <c r="G9" s="73"/>
      <c r="H9" s="261"/>
      <c r="I9" s="73"/>
      <c r="J9" s="327"/>
      <c r="K9" s="6"/>
      <c r="L9" s="74"/>
      <c r="M9" s="57"/>
    </row>
    <row r="10" spans="1:13" ht="15.75" customHeight="1">
      <c r="B10" s="8" t="s">
        <v>137</v>
      </c>
      <c r="C10" s="181">
        <f>Data!C9</f>
        <v>1914406324</v>
      </c>
      <c r="D10" s="262"/>
      <c r="E10" s="227">
        <f>E8*(1-E11)</f>
        <v>1914406323.9999998</v>
      </c>
      <c r="F10" s="262"/>
      <c r="G10" s="281" t="str">
        <f>IF(G8="","",G8*(1-G11))</f>
        <v/>
      </c>
      <c r="H10" s="262"/>
      <c r="I10" s="281" t="str">
        <f>IF(I8="","",I8*(1-I11))</f>
        <v/>
      </c>
      <c r="J10" s="328"/>
      <c r="K10" s="6"/>
      <c r="L10" s="116"/>
      <c r="M10" s="1"/>
    </row>
    <row r="11" spans="1:13" ht="15.75" customHeight="1">
      <c r="B11" s="17" t="s">
        <v>46</v>
      </c>
      <c r="C11" s="186">
        <f>(C8-C10)/C8</f>
        <v>0.35472977916371068</v>
      </c>
      <c r="D11" s="186"/>
      <c r="E11" s="73">
        <f>C11</f>
        <v>0.35472977916371068</v>
      </c>
      <c r="F11" s="186"/>
      <c r="G11" s="73"/>
      <c r="H11" s="186"/>
      <c r="I11" s="73"/>
      <c r="J11" s="329"/>
      <c r="K11" s="6"/>
      <c r="L11" s="74"/>
    </row>
    <row r="12" spans="1:13" ht="15.75" customHeight="1">
      <c r="B12" s="5" t="s">
        <v>138</v>
      </c>
      <c r="C12" s="27">
        <f>C8-C10</f>
        <v>1052422552</v>
      </c>
      <c r="D12" s="27"/>
      <c r="E12" s="27">
        <f>E8-E10</f>
        <v>1052422552.0000002</v>
      </c>
      <c r="F12" s="27"/>
      <c r="G12" s="27" t="str">
        <f>IF(G9="","",G8-G10)</f>
        <v/>
      </c>
      <c r="H12" s="27"/>
      <c r="I12" s="27" t="str">
        <f>IF(I9="","",I8-I10)</f>
        <v/>
      </c>
      <c r="J12" s="242"/>
      <c r="K12" s="6"/>
      <c r="L12" s="74"/>
    </row>
    <row r="13" spans="1:13" ht="15.75" customHeight="1">
      <c r="B13" s="17" t="s">
        <v>48</v>
      </c>
      <c r="C13" s="189">
        <f>C14/C8</f>
        <v>0.11318836678330887</v>
      </c>
      <c r="D13" s="189"/>
      <c r="E13" s="226">
        <f>E14/E8</f>
        <v>0.11318836678330887</v>
      </c>
      <c r="F13" s="189"/>
      <c r="G13" s="65"/>
      <c r="H13" s="189"/>
      <c r="I13" s="65"/>
      <c r="J13" s="330"/>
      <c r="K13" s="6"/>
      <c r="L13" s="74"/>
    </row>
    <row r="14" spans="1:13" ht="15.75" customHeight="1">
      <c r="B14" s="8" t="s">
        <v>139</v>
      </c>
      <c r="C14" s="183">
        <f>Data!C11</f>
        <v>335810515</v>
      </c>
      <c r="D14" s="263"/>
      <c r="E14" s="76">
        <f>C14</f>
        <v>335810515</v>
      </c>
      <c r="F14" s="263"/>
      <c r="G14" s="76"/>
      <c r="H14" s="263"/>
      <c r="I14" s="76"/>
      <c r="J14" s="331"/>
      <c r="K14" s="6"/>
      <c r="L14" s="74"/>
    </row>
    <row r="15" spans="1:13" ht="15.75" customHeight="1">
      <c r="B15" s="17" t="s">
        <v>49</v>
      </c>
      <c r="C15" s="18">
        <f>C17/C8</f>
        <v>0.2415414123804018</v>
      </c>
      <c r="D15" s="18"/>
      <c r="E15" s="18">
        <f>E17/E8</f>
        <v>0.24154141238040189</v>
      </c>
      <c r="F15" s="18"/>
      <c r="G15" s="18" t="str">
        <f>IF(G9="","",G17/G8)</f>
        <v/>
      </c>
      <c r="H15" s="18"/>
      <c r="I15" s="18" t="str">
        <f>IF(I9="","",I17/I8)</f>
        <v/>
      </c>
      <c r="J15" s="231"/>
      <c r="K15" s="6"/>
      <c r="L15" s="74"/>
      <c r="M15" s="57"/>
    </row>
    <row r="16" spans="1:13" ht="15.75" customHeight="1">
      <c r="B16" s="17" t="s">
        <v>140</v>
      </c>
      <c r="C16" s="188"/>
      <c r="D16" s="264"/>
      <c r="E16" s="14">
        <f>IF(ABS(C17+E17)=ABS(C17)+ABS(E17),IF(E17&lt;0,-1,1)*(E17-C17)/C17,"Turn")</f>
        <v>3.3270244817498441E-16</v>
      </c>
      <c r="F16" s="264"/>
      <c r="G16" s="14" t="str">
        <f>IF(G9="","",IF(ABS(E17+G17)=ABS(E17)+ABS(G17),IF(G17&lt;0,-1,1)*(G17-E17)/E17,"Turn"))</f>
        <v/>
      </c>
      <c r="H16" s="264"/>
      <c r="I16" s="14" t="str">
        <f>IF(I9="","",IF(ABS(G17+I17)=ABS(G17)+ABS(I17),IF(I17&lt;0,-1,1)*(I17-G17)/G17,"Turn"))</f>
        <v/>
      </c>
      <c r="J16" s="332"/>
      <c r="K16" s="6"/>
      <c r="L16" s="77"/>
      <c r="M16" s="78"/>
    </row>
    <row r="17" spans="2:13" ht="15.75" customHeight="1">
      <c r="B17" s="134" t="s">
        <v>237</v>
      </c>
      <c r="C17" s="319">
        <f>C12-C14</f>
        <v>716612037</v>
      </c>
      <c r="D17" s="320"/>
      <c r="E17" s="319">
        <f>E12-E14</f>
        <v>716612037.00000024</v>
      </c>
      <c r="F17" s="320"/>
      <c r="G17" s="319" t="str">
        <f>IF(G9="","",G12-G14)</f>
        <v/>
      </c>
      <c r="H17" s="320"/>
      <c r="I17" s="319" t="str">
        <f>IF(I9="","",I12-I14)</f>
        <v/>
      </c>
      <c r="J17" s="333"/>
      <c r="K17" s="6"/>
      <c r="L17" s="79"/>
      <c r="M17" s="56"/>
    </row>
    <row r="18" spans="2:13" ht="15.75" customHeight="1">
      <c r="B18" s="315" t="s">
        <v>141</v>
      </c>
      <c r="C18" s="316">
        <v>0.25</v>
      </c>
      <c r="D18" s="317"/>
      <c r="E18" s="318">
        <f>IF(E17="","",C18)</f>
        <v>0.25</v>
      </c>
      <c r="F18" s="318"/>
      <c r="G18" s="318" t="str">
        <f>IF(G17="","",E18)</f>
        <v/>
      </c>
      <c r="H18" s="318"/>
      <c r="I18" s="318" t="str">
        <f>IF(I17="","",G18)</f>
        <v/>
      </c>
      <c r="J18" s="334"/>
    </row>
    <row r="19" spans="2:13" ht="15.75" customHeight="1">
      <c r="B19" s="324" t="s">
        <v>294</v>
      </c>
      <c r="C19" s="264">
        <f>C20/C10</f>
        <v>0.28074449034780768</v>
      </c>
      <c r="D19" s="326"/>
      <c r="E19" s="325">
        <f>E20/E10</f>
        <v>0.28074449034780785</v>
      </c>
      <c r="F19" s="325"/>
      <c r="G19" s="325" t="str">
        <f>IF(G10="","",G20/G10)</f>
        <v/>
      </c>
      <c r="H19" s="325"/>
      <c r="I19" s="325" t="str">
        <f>IF(I10="","",I20/I10)</f>
        <v/>
      </c>
      <c r="J19" s="335"/>
    </row>
    <row r="20" spans="2:13" ht="15.75" customHeight="1">
      <c r="B20" s="321" t="s">
        <v>78</v>
      </c>
      <c r="C20" s="322">
        <f>IF(C17&lt;=0,C17,C17*(1-C18))</f>
        <v>537459027.75</v>
      </c>
      <c r="D20" s="322"/>
      <c r="E20" s="323">
        <f>IF(E17="","",IF(E17&lt;=0,E17,E17*(1-E18)))</f>
        <v>537459027.75000024</v>
      </c>
      <c r="F20" s="322"/>
      <c r="G20" s="323" t="str">
        <f>IF(G17="","",IF(G17&lt;=0,G17,G17*(1-G18)))</f>
        <v/>
      </c>
      <c r="H20" s="322"/>
      <c r="I20" s="323" t="str">
        <f>IF(I17="","",IF(I17&lt;=0,I17,I17*(1-I18)))</f>
        <v/>
      </c>
      <c r="J20" s="336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2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G15:H17 H14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E30" sqref="E30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2" t="s">
        <v>218</v>
      </c>
      <c r="C2" s="285" t="s">
        <v>253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>
      <c r="B3" s="29" t="str">
        <f>"(Numbers in "&amp;Data!C4&amp;Dashboard!I11&amp;")"</f>
        <v>(Numbers in 1CNY)</v>
      </c>
      <c r="C3" s="277">
        <f>Operation!C3</f>
        <v>44561</v>
      </c>
      <c r="D3" s="277">
        <f>Operation!E3</f>
        <v>44926</v>
      </c>
      <c r="E3" s="277" t="str">
        <f>Operation!G3</f>
        <v/>
      </c>
      <c r="F3" s="277" t="str">
        <f>Operation!I3</f>
        <v/>
      </c>
      <c r="G3" s="28" t="s">
        <v>251</v>
      </c>
      <c r="I3" s="72" t="s">
        <v>134</v>
      </c>
    </row>
    <row r="4" spans="1:10" ht="15.75" customHeight="1">
      <c r="B4" s="5" t="s">
        <v>78</v>
      </c>
      <c r="C4" s="182">
        <f>Operation!C20</f>
        <v>537459027.75</v>
      </c>
      <c r="D4" s="45">
        <f>Operation!E20</f>
        <v>537459027.75000024</v>
      </c>
      <c r="E4" s="45" t="str">
        <f>Operation!G20</f>
        <v/>
      </c>
      <c r="F4" s="201" t="str">
        <f>Operation!I20</f>
        <v/>
      </c>
      <c r="G4" s="303">
        <f>IF(F3="",IF(E3="",1,2),3)</f>
        <v>1</v>
      </c>
      <c r="H4" s="6"/>
      <c r="I4" s="79"/>
      <c r="J4" s="56"/>
    </row>
    <row r="5" spans="1:10" ht="15.75" customHeight="1">
      <c r="B5" s="17" t="s">
        <v>266</v>
      </c>
      <c r="C5" s="257"/>
      <c r="D5" s="258">
        <f>D4/C4-1</f>
        <v>0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>
      <c r="B6" s="17" t="s">
        <v>66</v>
      </c>
      <c r="C6" s="65">
        <v>0.38619999999999999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>
      <c r="B7" s="81" t="s">
        <v>261</v>
      </c>
      <c r="C7" s="309">
        <f>C4*C6</f>
        <v>207566676.51705</v>
      </c>
      <c r="D7" s="309">
        <f>D4*D6</f>
        <v>207566676.51705009</v>
      </c>
      <c r="E7" s="310"/>
      <c r="F7" s="310"/>
      <c r="G7" s="200"/>
      <c r="H7" s="82"/>
      <c r="I7" s="56"/>
      <c r="J7" s="56"/>
    </row>
    <row r="8" spans="1:10" ht="15.75" customHeight="1" thickTop="1">
      <c r="B8" s="17" t="s">
        <v>142</v>
      </c>
      <c r="C8" s="192">
        <f>IF(C4="","",C4-C7)</f>
        <v>329892351.23294997</v>
      </c>
      <c r="D8" s="191">
        <f>D4-D7</f>
        <v>329892351.23295015</v>
      </c>
      <c r="E8" s="191" t="str">
        <f>IF(E4="","",E4-E7)</f>
        <v/>
      </c>
      <c r="F8" s="191" t="str">
        <f>IF(F4="","",F4-F7)</f>
        <v/>
      </c>
      <c r="G8" s="229">
        <f>IF(F4="",IF(E4="",D8,E8),F8)</f>
        <v>329892351.23295015</v>
      </c>
      <c r="H8" s="82"/>
      <c r="I8" s="56"/>
      <c r="J8" s="56"/>
    </row>
    <row r="9" spans="1:10" ht="15.75" customHeight="1">
      <c r="B9" s="203" t="s">
        <v>211</v>
      </c>
      <c r="C9" s="193">
        <f>C8/(Common_Shares/Data!$C$4)</f>
        <v>0.92023007287473413</v>
      </c>
      <c r="D9" s="305">
        <f>D8/(Common_Shares/Data!$C$4)</f>
        <v>0.92023007287473457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0.92023007287473457</v>
      </c>
      <c r="H9" s="82"/>
      <c r="I9" s="56"/>
      <c r="J9" s="56"/>
    </row>
    <row r="10" spans="1:10" ht="15.75" customHeight="1">
      <c r="B10" s="234" t="s">
        <v>238</v>
      </c>
      <c r="C10" s="311">
        <f>C11/C9</f>
        <v>0</v>
      </c>
      <c r="D10" s="311">
        <f>D11/D9</f>
        <v>0.23907064818337803</v>
      </c>
      <c r="E10" s="343"/>
      <c r="F10" s="343"/>
      <c r="G10" s="235"/>
      <c r="H10" s="82"/>
      <c r="I10" s="56"/>
      <c r="J10" s="56"/>
    </row>
    <row r="11" spans="1:10" ht="15.75" customHeight="1">
      <c r="B11" s="234" t="s">
        <v>252</v>
      </c>
      <c r="C11" s="283">
        <v>0</v>
      </c>
      <c r="D11" s="284">
        <v>0.22</v>
      </c>
      <c r="E11" s="344"/>
      <c r="F11" s="344"/>
      <c r="G11" s="282"/>
      <c r="H11" s="82"/>
      <c r="I11" s="56"/>
      <c r="J11" s="56"/>
    </row>
    <row r="12" spans="1:10" ht="15.75" customHeight="1">
      <c r="B12" s="19" t="s">
        <v>267</v>
      </c>
      <c r="C12" s="236">
        <v>0</v>
      </c>
      <c r="D12" s="236">
        <v>0.22</v>
      </c>
      <c r="E12" s="345"/>
      <c r="F12" s="345"/>
      <c r="G12" s="230">
        <f>IF(G9&lt;0,G9,G9*D27)</f>
        <v>27.606902186242039</v>
      </c>
      <c r="H12" s="82"/>
      <c r="I12" s="56"/>
      <c r="J12" s="56"/>
    </row>
    <row r="13" spans="1:10" ht="15.75" customHeight="1">
      <c r="B13" s="17" t="s">
        <v>143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>
      <c r="B14" s="83" t="s">
        <v>144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>
      <c r="B15" s="8" t="s">
        <v>290</v>
      </c>
      <c r="C15" s="237">
        <f>C12</f>
        <v>0</v>
      </c>
      <c r="D15" s="195">
        <f ca="1">IF(D12="","",MAX(D9-D11+D12,D12)/D14)</f>
        <v>0.83962597890030521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22.982462926103242</v>
      </c>
      <c r="H15" s="80"/>
      <c r="I15" s="56"/>
      <c r="J15" s="56"/>
    </row>
    <row r="16" spans="1:10" ht="15.75" customHeight="1">
      <c r="F16" s="6"/>
      <c r="G16" s="115"/>
    </row>
    <row r="17" spans="1:9" ht="15.75" customHeight="1">
      <c r="B17" s="26" t="s">
        <v>214</v>
      </c>
      <c r="C17" s="194" t="str">
        <f>B3</f>
        <v>(Numbers in 1CNY)</v>
      </c>
      <c r="E17" s="72" t="s">
        <v>215</v>
      </c>
    </row>
    <row r="18" spans="1:9" ht="15.75" customHeight="1">
      <c r="B18" s="58" t="s">
        <v>231</v>
      </c>
      <c r="C18" s="84">
        <f>Asset_Model!E59</f>
        <v>1669406156.47</v>
      </c>
      <c r="D18" s="219">
        <f>C18/(Dashboard!I5/Data!C4)</f>
        <v>4.6567849884495196</v>
      </c>
      <c r="E18" s="85" t="s">
        <v>229</v>
      </c>
      <c r="G18" s="137">
        <f>C18+C19+C20+C21</f>
        <v>1181879054.4296968</v>
      </c>
    </row>
    <row r="19" spans="1:9" ht="15.75" customHeight="1">
      <c r="B19" s="58" t="s">
        <v>235</v>
      </c>
      <c r="C19" s="84">
        <f>Asset_Model!E58</f>
        <v>408169578.99400002</v>
      </c>
      <c r="D19" s="219">
        <f>C19/(Dashboard!I5/Data!C4)</f>
        <v>1.1385832985186892</v>
      </c>
      <c r="E19" s="85" t="s">
        <v>339</v>
      </c>
      <c r="G19" s="197">
        <f>(G18+MIN(D4,0))*Data!C$4/Dashboard!I5</f>
        <v>3.296834995786138</v>
      </c>
    </row>
    <row r="20" spans="1:9" ht="15.75" customHeight="1">
      <c r="B20" s="58" t="s">
        <v>216</v>
      </c>
      <c r="C20" s="84">
        <f>-Asset_Model!D52</f>
        <v>-887777083.25</v>
      </c>
      <c r="D20" s="219">
        <f>C20/(Dashboard!I5/Data!C4)</f>
        <v>-2.4764416845747945</v>
      </c>
      <c r="E20" s="459" t="str">
        <f>IF(F21+G21=G19,"⇒","Error!")</f>
        <v>⇒</v>
      </c>
      <c r="F20" s="146" t="s">
        <v>236</v>
      </c>
      <c r="G20" s="87" t="s">
        <v>21</v>
      </c>
    </row>
    <row r="21" spans="1:9" ht="15.75" customHeight="1">
      <c r="B21" s="85" t="s">
        <v>230</v>
      </c>
      <c r="C21" s="84">
        <f>-Asset_Model!E50</f>
        <v>-7919597.7843031147</v>
      </c>
      <c r="D21" s="219">
        <f>C21/(Dashboard!I5/Data!C4)</f>
        <v>-2.2091606607276562E-2</v>
      </c>
      <c r="E21" s="459"/>
      <c r="F21" s="148">
        <f>D18+(MIN(D4,0)*Data!C$4/Dashboard!I5)</f>
        <v>4.6567849884495196</v>
      </c>
      <c r="G21" s="147">
        <f>SUM(D19:D21)</f>
        <v>-1.3599499926633818</v>
      </c>
    </row>
    <row r="22" spans="1:9" ht="15.75" customHeight="1">
      <c r="F22" s="6"/>
      <c r="G22" s="6"/>
    </row>
    <row r="23" spans="1:9" ht="15.75" customHeight="1">
      <c r="B23" s="26" t="s">
        <v>217</v>
      </c>
      <c r="C23" s="194" t="str">
        <f>B3</f>
        <v>(Numbers in 1CNY)</v>
      </c>
      <c r="E23" s="460" t="s">
        <v>222</v>
      </c>
      <c r="F23" s="460"/>
      <c r="G23" s="460"/>
    </row>
    <row r="24" spans="1:9" ht="15.75" customHeight="1">
      <c r="B24" s="127" t="str">
        <f>"Exit after Year "&amp;G4</f>
        <v>Exit after Year 1</v>
      </c>
      <c r="C24" s="127" t="s">
        <v>220</v>
      </c>
      <c r="D24" s="202" t="s">
        <v>213</v>
      </c>
      <c r="E24" s="304" t="s">
        <v>221</v>
      </c>
      <c r="F24" s="265" t="str">
        <f>"Equity Value ("&amp;Dashboard!I11&amp;")"</f>
        <v>Equity Value (CNY)</v>
      </c>
      <c r="G24" s="265" t="str">
        <f>"Equity Value ("&amp;Dashboard!J4&amp;")"</f>
        <v>Equity Value (CNY)</v>
      </c>
      <c r="I24" s="86" t="s">
        <v>134</v>
      </c>
    </row>
    <row r="25" spans="1:9" ht="15.75" customHeight="1">
      <c r="B25" s="30" t="s">
        <v>288</v>
      </c>
      <c r="C25" s="14">
        <f>1/D25</f>
        <v>0.1</v>
      </c>
      <c r="D25" s="297">
        <v>10</v>
      </c>
      <c r="E25" s="206">
        <f ca="1">IF(G9&lt;0,G9,G9*D25/G14)</f>
        <v>7.6608209753677476</v>
      </c>
      <c r="F25" s="206">
        <f ca="1">E25+$G$19</f>
        <v>10.957655971153885</v>
      </c>
      <c r="G25" s="206">
        <f ca="1">ROUND(F25*Exchange_Rate,2)</f>
        <v>10.96</v>
      </c>
      <c r="I25" s="74"/>
    </row>
    <row r="26" spans="1:9" ht="15.75" customHeight="1">
      <c r="B26" s="30" t="s">
        <v>289</v>
      </c>
      <c r="C26" s="349">
        <f>1/D26</f>
        <v>6.6666666666666666E-2</v>
      </c>
      <c r="D26" s="350">
        <v>15</v>
      </c>
      <c r="E26" s="351">
        <f ca="1">IF(G9&lt;0,G9,G9*D26/G14)</f>
        <v>11.491231463051621</v>
      </c>
      <c r="F26" s="351">
        <f ca="1">E26+$G$19</f>
        <v>14.788066458837759</v>
      </c>
      <c r="G26" s="351">
        <f ca="1">ROUND(F26*Exchange_Rate,2)</f>
        <v>14.79</v>
      </c>
      <c r="I26" s="74" t="s">
        <v>298</v>
      </c>
    </row>
    <row r="27" spans="1:9" ht="15.75" customHeight="1">
      <c r="B27" s="301" t="s">
        <v>296</v>
      </c>
      <c r="C27" s="302">
        <f t="shared" ref="C27" si="0">1/D27</f>
        <v>3.3333333333333333E-2</v>
      </c>
      <c r="D27" s="314">
        <v>30</v>
      </c>
      <c r="E27" s="207">
        <f ca="1">IF(G9&lt;0,G9,G9*D27/G14)</f>
        <v>22.982462926103242</v>
      </c>
      <c r="F27" s="207">
        <f ca="1">E27+$G$19</f>
        <v>26.279297921889381</v>
      </c>
      <c r="G27" s="207">
        <f ca="1">ROUND(F27*Exchange_Rate,2)</f>
        <v>26.28</v>
      </c>
      <c r="I27" s="74" t="s">
        <v>297</v>
      </c>
    </row>
    <row r="28" spans="1:9" ht="15.75" customHeight="1">
      <c r="C28" s="6"/>
      <c r="D28" s="6"/>
      <c r="E28" s="6"/>
      <c r="F28" s="6"/>
      <c r="G28" s="6"/>
    </row>
    <row r="29" spans="1:9" ht="15.75" customHeight="1">
      <c r="A29" s="10"/>
      <c r="B29" s="11" t="s">
        <v>15</v>
      </c>
      <c r="C29" s="250" t="str">
        <f>"(Numbers in "&amp;Dashboard!J4&amp;" per share)"</f>
        <v>(Numbers in CNY per share)</v>
      </c>
      <c r="D29" s="127"/>
      <c r="E29" s="133"/>
      <c r="F29" s="366" t="s">
        <v>338</v>
      </c>
      <c r="G29" s="369">
        <f>IF(Asset_Model!D7&lt;G19,Asset_Model!D7,G19)</f>
        <v>3.296834995786138</v>
      </c>
      <c r="H29" s="12"/>
      <c r="I29" s="90"/>
    </row>
    <row r="30" spans="1:9" ht="15.75" customHeight="1">
      <c r="A30" s="6"/>
      <c r="B30" s="71" t="s">
        <v>145</v>
      </c>
      <c r="C30" s="252">
        <f ca="1">MIN(G29,G25)+(ABS(G29-G25)*'Qualitative Analysis'!E8)</f>
        <v>6.9751541978087932</v>
      </c>
      <c r="D30" s="23" t="str">
        <f ca="1">IF(C30&lt;E30,"&lt;",IF(C30=E30,"=","&gt;"))</f>
        <v>&lt;</v>
      </c>
      <c r="E30" s="251">
        <f ca="1">MAX(G26, G19*Exchange_Rate)</f>
        <v>14.79</v>
      </c>
      <c r="F30" s="30"/>
      <c r="H30" s="6"/>
      <c r="I30" s="6"/>
    </row>
    <row r="31" spans="1:9" ht="15.75" customHeight="1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>
      <c r="C32" s="457" t="s">
        <v>146</v>
      </c>
      <c r="D32" s="458"/>
      <c r="E32" s="30" t="s">
        <v>212</v>
      </c>
      <c r="F32" s="30" t="s">
        <v>16</v>
      </c>
      <c r="G32" s="30"/>
      <c r="H32" s="6"/>
    </row>
    <row r="33" spans="2:9" ht="15.75" customHeight="1">
      <c r="B33" s="256" t="s">
        <v>224</v>
      </c>
      <c r="C33" s="253">
        <f ca="1">MIN(C30,E30)+ABS(C30-E30)*'Qualitative Analysis'!$E$64</f>
        <v>10.563869611937482</v>
      </c>
      <c r="D33" s="119" t="str">
        <f>Dashboard!J4</f>
        <v>CNY</v>
      </c>
      <c r="E33" s="120">
        <f ca="1">(C33-G19)/C9</f>
        <v>7.8969758002470387</v>
      </c>
      <c r="F33" s="158">
        <f ca="1">C33/(Data!C28*Exchange_Rate*Data!C4/Common_Shares)</f>
        <v>1.1793138893173152</v>
      </c>
      <c r="G33" s="87"/>
      <c r="H33" s="6"/>
      <c r="I33" s="74"/>
    </row>
    <row r="34" spans="2:9" ht="15.5" customHeight="1">
      <c r="B34" s="255" t="s">
        <v>223</v>
      </c>
      <c r="C34" s="254">
        <f>MAX(Asset_Model!D7,G19*Exchange_Rate,(G12/(1+G34)^G4+G19)*Exchange_Rate)</f>
        <v>29.001585634745204</v>
      </c>
      <c r="D34" s="208" t="str">
        <f>D33</f>
        <v>CNY</v>
      </c>
      <c r="E34" s="120">
        <f>(C34-G19)/C9</f>
        <v>27.932960893854762</v>
      </c>
      <c r="F34" s="158">
        <f>C34/(Data!C28*Exchange_Rate*Data!C4/Common_Shares)</f>
        <v>3.2376367758866795</v>
      </c>
      <c r="G34" s="280">
        <f>Dashboard!D10+4.5%</f>
        <v>7.3999999999999996E-2</v>
      </c>
    </row>
    <row r="35" spans="2:9" ht="15.75" customHeight="1"/>
    <row r="36" spans="2:9" ht="15.75" customHeight="1"/>
    <row r="37" spans="2:9" ht="15.75" customHeight="1"/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</sheetData>
  <mergeCells count="3">
    <mergeCell ref="C32:D32"/>
    <mergeCell ref="E20:E21"/>
    <mergeCell ref="E23:G23"/>
  </mergeCells>
  <phoneticPr fontId="32" type="noConversion"/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56" sqref="E56: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147</v>
      </c>
      <c r="C2" s="95"/>
      <c r="D2" s="12"/>
      <c r="E2" s="12"/>
      <c r="G2" s="72" t="s">
        <v>134</v>
      </c>
    </row>
    <row r="3" spans="1:7" ht="14">
      <c r="B3" s="6" t="s">
        <v>271</v>
      </c>
      <c r="C3" s="96"/>
      <c r="D3" s="94">
        <f>IF(E3="Strongly disagree",0,IF(E3="disagree",1,IF(E3="unclear",2,IF(E3="agree",3,4))))</f>
        <v>0</v>
      </c>
      <c r="E3" s="31" t="s">
        <v>171</v>
      </c>
      <c r="G3" s="79" t="s">
        <v>299</v>
      </c>
    </row>
    <row r="4" spans="1:7" ht="14">
      <c r="B4" s="6" t="s">
        <v>273</v>
      </c>
      <c r="C4" s="96"/>
      <c r="D4" s="94">
        <f t="shared" ref="D4" si="0">IF(E4="Strongly disagree",0,IF(E4="disagree",1,IF(E4="unclear",2,IF(E4="agree",3,4))))</f>
        <v>4</v>
      </c>
      <c r="E4" s="31" t="s">
        <v>158</v>
      </c>
      <c r="G4" s="77"/>
    </row>
    <row r="5" spans="1:7" ht="14">
      <c r="B5" s="6" t="s">
        <v>268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>
      <c r="B6" s="6" t="s">
        <v>269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>
      <c r="B7" s="6" t="s">
        <v>270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>
      <c r="B8" s="97" t="s">
        <v>150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>
      <c r="B9" s="96"/>
      <c r="C9" s="96"/>
      <c r="E9" s="6"/>
      <c r="G9" s="77"/>
    </row>
    <row r="10" spans="1:7" ht="15" customHeight="1">
      <c r="A10" s="4"/>
      <c r="B10" s="11" t="s">
        <v>151</v>
      </c>
      <c r="C10" s="20"/>
      <c r="D10" s="20"/>
      <c r="E10" s="12"/>
      <c r="G10" s="294"/>
    </row>
    <row r="11" spans="1:7" ht="15" customHeight="1">
      <c r="B11" s="99" t="s">
        <v>152</v>
      </c>
      <c r="C11" s="93"/>
      <c r="E11" s="6"/>
      <c r="G11" s="294"/>
    </row>
    <row r="12" spans="1:7" ht="15" customHeight="1">
      <c r="B12" s="53" t="s">
        <v>272</v>
      </c>
      <c r="D12" s="100">
        <f>IF(E12="Strongly disagree",0,IF(E12="disagree",1,IF(E12="unclear",2,IF(E12="agree",3,4))))</f>
        <v>0</v>
      </c>
      <c r="E12" s="31" t="s">
        <v>171</v>
      </c>
      <c r="F12" s="6"/>
      <c r="G12" s="294" t="s">
        <v>300</v>
      </c>
    </row>
    <row r="13" spans="1:7" ht="15" customHeight="1">
      <c r="B13" s="53" t="s">
        <v>153</v>
      </c>
      <c r="D13" s="100">
        <f>IF(E13="Strongly disagree",0,IF(E13="disagree",1,IF(E13="unclear",2,IF(E13="agree",3,4))))</f>
        <v>1</v>
      </c>
      <c r="E13" s="31" t="s">
        <v>156</v>
      </c>
      <c r="F13" s="6"/>
      <c r="G13" s="294"/>
    </row>
    <row r="14" spans="1:7" ht="15" customHeight="1">
      <c r="B14" s="53" t="s">
        <v>154</v>
      </c>
      <c r="D14" s="100">
        <f>IF(E14="Strongly disagree",0,IF(E14="disagree",1,IF(E14="unclear",2,IF(E14="agree",3,4))))</f>
        <v>1</v>
      </c>
      <c r="E14" s="31" t="s">
        <v>156</v>
      </c>
      <c r="F14" s="6"/>
      <c r="G14" s="294"/>
    </row>
    <row r="15" spans="1:7" ht="15" customHeight="1">
      <c r="B15" s="53" t="s">
        <v>155</v>
      </c>
      <c r="D15" s="100">
        <f>IF(E15="Strongly disagree",0,IF(E15="disagree",1,IF(E15="unclear",2,IF(E15="agree",3,4))))</f>
        <v>1</v>
      </c>
      <c r="E15" s="31" t="s">
        <v>156</v>
      </c>
      <c r="F15" s="6"/>
      <c r="G15" s="294"/>
    </row>
    <row r="16" spans="1:7" ht="15" customHeight="1">
      <c r="B16" s="53" t="s">
        <v>157</v>
      </c>
      <c r="D16" s="100">
        <f>IF(E16="Strongly disagree",0,IF(E16="disagree",1,IF(E16="unclear",2,IF(E16="agree",3,4))))</f>
        <v>4</v>
      </c>
      <c r="E16" s="31" t="s">
        <v>158</v>
      </c>
      <c r="F16" s="6"/>
      <c r="G16" s="294"/>
    </row>
    <row r="17" spans="2:7" ht="15" customHeight="1">
      <c r="B17" s="99" t="s">
        <v>159</v>
      </c>
      <c r="D17" s="38"/>
      <c r="E17" s="23"/>
      <c r="G17" s="294"/>
    </row>
    <row r="18" spans="2:7" ht="15" customHeight="1">
      <c r="B18" s="53" t="s">
        <v>293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>
      <c r="B19" s="53" t="s">
        <v>160</v>
      </c>
      <c r="D19" s="100">
        <f t="shared" ref="D19:D22" si="1">IF(E19="Strongly disagree",0,IF(E19="disagree",1,IF(E19="unclear",2,IF(E19="agree",3,4))))</f>
        <v>2</v>
      </c>
      <c r="E19" s="31" t="s">
        <v>148</v>
      </c>
      <c r="F19" s="6"/>
      <c r="G19" s="294" t="s">
        <v>301</v>
      </c>
    </row>
    <row r="20" spans="2:7" ht="15" customHeight="1">
      <c r="B20" s="53" t="s">
        <v>161</v>
      </c>
      <c r="D20" s="100">
        <f t="shared" si="1"/>
        <v>1</v>
      </c>
      <c r="E20" s="31" t="s">
        <v>156</v>
      </c>
      <c r="F20" s="6"/>
      <c r="G20" s="294"/>
    </row>
    <row r="21" spans="2:7" ht="15" customHeight="1">
      <c r="B21" s="53" t="s">
        <v>162</v>
      </c>
      <c r="D21" s="100">
        <f t="shared" si="1"/>
        <v>2</v>
      </c>
      <c r="E21" s="31" t="s">
        <v>148</v>
      </c>
      <c r="F21" s="6"/>
      <c r="G21" s="294"/>
    </row>
    <row r="22" spans="2:7" ht="15" customHeight="1">
      <c r="B22" s="53" t="s">
        <v>163</v>
      </c>
      <c r="D22" s="100">
        <f t="shared" si="1"/>
        <v>1</v>
      </c>
      <c r="E22" s="31" t="s">
        <v>156</v>
      </c>
      <c r="F22" s="6"/>
      <c r="G22" s="294"/>
    </row>
    <row r="23" spans="2:7" ht="15" customHeight="1">
      <c r="B23" s="99" t="s">
        <v>164</v>
      </c>
      <c r="D23" s="38"/>
      <c r="E23" s="23"/>
      <c r="G23" s="294"/>
    </row>
    <row r="24" spans="2:7" ht="15" customHeight="1">
      <c r="B24" s="53" t="s">
        <v>165</v>
      </c>
      <c r="D24" s="100">
        <f t="shared" ref="D24:D28" si="2">IF(E24="Strongly disagree",0,IF(E24="disagree",1,IF(E24="unclear",2,IF(E24="agree",3,4))))</f>
        <v>3</v>
      </c>
      <c r="E24" s="31" t="s">
        <v>149</v>
      </c>
      <c r="F24" s="6"/>
      <c r="G24" s="294" t="s">
        <v>302</v>
      </c>
    </row>
    <row r="25" spans="2:7" ht="15" customHeight="1">
      <c r="B25" s="53" t="s">
        <v>166</v>
      </c>
      <c r="D25" s="100">
        <f t="shared" si="2"/>
        <v>2</v>
      </c>
      <c r="E25" s="31" t="s">
        <v>148</v>
      </c>
      <c r="F25" s="6"/>
      <c r="G25" s="294" t="s">
        <v>303</v>
      </c>
    </row>
    <row r="26" spans="2:7" ht="15" customHeight="1">
      <c r="B26" s="53" t="s">
        <v>274</v>
      </c>
      <c r="D26" s="100">
        <f t="shared" si="2"/>
        <v>2</v>
      </c>
      <c r="E26" s="31" t="s">
        <v>148</v>
      </c>
      <c r="F26" s="6"/>
      <c r="G26" s="294"/>
    </row>
    <row r="27" spans="2:7" ht="15" customHeight="1">
      <c r="B27" s="53" t="s">
        <v>275</v>
      </c>
      <c r="D27" s="100">
        <f t="shared" si="2"/>
        <v>2</v>
      </c>
      <c r="E27" s="31" t="s">
        <v>148</v>
      </c>
      <c r="F27" s="6"/>
      <c r="G27" s="294"/>
    </row>
    <row r="28" spans="2:7" ht="15" customHeight="1">
      <c r="B28" s="53" t="s">
        <v>167</v>
      </c>
      <c r="D28" s="100">
        <f t="shared" si="2"/>
        <v>2</v>
      </c>
      <c r="E28" s="31" t="s">
        <v>148</v>
      </c>
      <c r="F28" s="6"/>
      <c r="G28" s="294"/>
    </row>
    <row r="29" spans="2:7" ht="15" customHeight="1">
      <c r="B29" s="99" t="s">
        <v>168</v>
      </c>
      <c r="D29" s="38"/>
      <c r="E29" s="23"/>
      <c r="G29" s="294"/>
    </row>
    <row r="30" spans="2:7" ht="15" customHeight="1">
      <c r="B30" s="1" t="s">
        <v>169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>
      <c r="B31" s="53" t="s">
        <v>170</v>
      </c>
      <c r="D31" s="100">
        <f t="shared" ref="D31:D35" si="3">IF(E31="Strongly disagree",0,IF(E31="disagree",1,IF(E31="unclear",2,IF(E31="agree",3,4))))</f>
        <v>1</v>
      </c>
      <c r="E31" s="31" t="s">
        <v>156</v>
      </c>
      <c r="F31" s="6"/>
      <c r="G31" s="294"/>
    </row>
    <row r="32" spans="2:7" ht="15" customHeight="1">
      <c r="B32" s="53" t="s">
        <v>276</v>
      </c>
      <c r="D32" s="100">
        <f t="shared" si="3"/>
        <v>4</v>
      </c>
      <c r="E32" s="31" t="s">
        <v>158</v>
      </c>
      <c r="F32" s="6"/>
      <c r="G32" s="294"/>
    </row>
    <row r="33" spans="2:7" ht="15" customHeight="1">
      <c r="B33" s="53" t="s">
        <v>277</v>
      </c>
      <c r="D33" s="100">
        <f t="shared" si="3"/>
        <v>1</v>
      </c>
      <c r="E33" s="31" t="s">
        <v>156</v>
      </c>
      <c r="F33" s="6"/>
      <c r="G33" s="294"/>
    </row>
    <row r="34" spans="2:7" ht="15" customHeight="1">
      <c r="B34" s="53" t="s">
        <v>278</v>
      </c>
      <c r="D34" s="100">
        <f t="shared" si="3"/>
        <v>3</v>
      </c>
      <c r="E34" s="31" t="s">
        <v>149</v>
      </c>
      <c r="F34" s="6"/>
      <c r="G34" s="294"/>
    </row>
    <row r="35" spans="2:7" ht="15" customHeight="1">
      <c r="B35" s="53" t="s">
        <v>295</v>
      </c>
      <c r="D35" s="100">
        <f t="shared" si="3"/>
        <v>4</v>
      </c>
      <c r="E35" s="31" t="s">
        <v>158</v>
      </c>
      <c r="G35" s="294"/>
    </row>
    <row r="36" spans="2:7" ht="15" customHeight="1">
      <c r="B36" s="1" t="s">
        <v>172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>
      <c r="B37" s="53" t="s">
        <v>173</v>
      </c>
      <c r="D37" s="100">
        <f t="shared" ref="D37:D41" si="4">IF(E37="Strongly disagree",0,IF(E37="disagree",1,IF(E37="unclear",2,IF(E37="agree",3,4))))</f>
        <v>0</v>
      </c>
      <c r="E37" s="31" t="s">
        <v>171</v>
      </c>
      <c r="F37" s="6"/>
      <c r="G37" s="294"/>
    </row>
    <row r="38" spans="2:7" ht="15" customHeight="1">
      <c r="B38" s="53" t="s">
        <v>279</v>
      </c>
      <c r="D38" s="100">
        <f t="shared" si="4"/>
        <v>0</v>
      </c>
      <c r="E38" s="31" t="s">
        <v>171</v>
      </c>
      <c r="F38" s="6"/>
      <c r="G38" s="294"/>
    </row>
    <row r="39" spans="2:7" ht="15" customHeight="1">
      <c r="B39" s="53" t="s">
        <v>280</v>
      </c>
      <c r="D39" s="100">
        <f t="shared" si="4"/>
        <v>3</v>
      </c>
      <c r="E39" s="31" t="s">
        <v>149</v>
      </c>
      <c r="F39" s="6"/>
      <c r="G39" s="294"/>
    </row>
    <row r="40" spans="2:7" ht="15" customHeight="1">
      <c r="B40" s="53" t="s">
        <v>281</v>
      </c>
      <c r="D40" s="100">
        <f t="shared" si="4"/>
        <v>3</v>
      </c>
      <c r="E40" s="31" t="s">
        <v>149</v>
      </c>
      <c r="F40" s="6"/>
      <c r="G40" s="294"/>
    </row>
    <row r="41" spans="2:7" ht="15" customHeight="1">
      <c r="B41" s="53" t="s">
        <v>282</v>
      </c>
      <c r="D41" s="100">
        <f t="shared" si="4"/>
        <v>0</v>
      </c>
      <c r="E41" s="31" t="s">
        <v>171</v>
      </c>
      <c r="G41" s="294"/>
    </row>
    <row r="42" spans="2:7" ht="15" customHeight="1">
      <c r="B42" s="1" t="s">
        <v>174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>
      <c r="B43" s="53" t="s">
        <v>175</v>
      </c>
      <c r="D43" s="100">
        <f t="shared" ref="D43:D48" si="5">IF(E43="Strongly disagree",0,IF(E43="disagree",1,IF(E43="unclear",2,IF(E43="agree",3,4))))</f>
        <v>0</v>
      </c>
      <c r="E43" s="31" t="s">
        <v>171</v>
      </c>
      <c r="F43" s="6"/>
      <c r="G43" s="294"/>
    </row>
    <row r="44" spans="2:7" ht="15" customHeight="1">
      <c r="B44" s="53" t="s">
        <v>176</v>
      </c>
      <c r="D44" s="100">
        <f t="shared" si="5"/>
        <v>2</v>
      </c>
      <c r="E44" s="31" t="s">
        <v>148</v>
      </c>
      <c r="F44" s="6"/>
      <c r="G44" s="294"/>
    </row>
    <row r="45" spans="2:7" ht="15" customHeight="1">
      <c r="B45" s="53" t="s">
        <v>177</v>
      </c>
      <c r="D45" s="100">
        <f t="shared" si="5"/>
        <v>4</v>
      </c>
      <c r="E45" s="31" t="s">
        <v>158</v>
      </c>
      <c r="F45" s="6"/>
      <c r="G45" s="294"/>
    </row>
    <row r="46" spans="2:7" ht="15" customHeight="1">
      <c r="B46" s="53" t="s">
        <v>178</v>
      </c>
      <c r="D46" s="100">
        <f t="shared" si="5"/>
        <v>0</v>
      </c>
      <c r="E46" s="31" t="s">
        <v>171</v>
      </c>
      <c r="F46" s="6"/>
      <c r="G46" s="294" t="s">
        <v>304</v>
      </c>
    </row>
    <row r="47" spans="2:7" ht="15" customHeight="1">
      <c r="B47" s="53" t="s">
        <v>179</v>
      </c>
      <c r="D47" s="100">
        <f t="shared" si="5"/>
        <v>0</v>
      </c>
      <c r="E47" s="31" t="s">
        <v>171</v>
      </c>
      <c r="F47" s="6"/>
      <c r="G47" s="294"/>
    </row>
    <row r="48" spans="2:7" ht="15" customHeight="1">
      <c r="B48" s="53" t="s">
        <v>205</v>
      </c>
      <c r="D48" s="100">
        <f t="shared" si="5"/>
        <v>2</v>
      </c>
      <c r="E48" s="31" t="s">
        <v>148</v>
      </c>
      <c r="F48" s="6"/>
      <c r="G48" s="294"/>
    </row>
    <row r="49" spans="2:8" ht="15" customHeight="1">
      <c r="B49" s="1" t="s">
        <v>180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>
      <c r="B50" s="53" t="s">
        <v>181</v>
      </c>
      <c r="D50" s="100">
        <f t="shared" ref="D50:D52" si="6">IF(E50="Strongly disagree",0,IF(E50="disagree",1,IF(E50="unclear",2,IF(E50="agree",3,4))))</f>
        <v>1</v>
      </c>
      <c r="E50" s="31" t="s">
        <v>156</v>
      </c>
      <c r="G50" s="294"/>
    </row>
    <row r="51" spans="2:8" ht="15" customHeight="1">
      <c r="B51" s="53" t="s">
        <v>182</v>
      </c>
      <c r="D51" s="100">
        <f t="shared" si="6"/>
        <v>2</v>
      </c>
      <c r="E51" s="31" t="s">
        <v>148</v>
      </c>
      <c r="F51" s="6"/>
      <c r="G51" s="294"/>
    </row>
    <row r="52" spans="2:8" ht="15" customHeight="1">
      <c r="B52" s="53" t="s">
        <v>283</v>
      </c>
      <c r="D52" s="100">
        <f t="shared" si="6"/>
        <v>3</v>
      </c>
      <c r="E52" s="31" t="s">
        <v>149</v>
      </c>
      <c r="G52" s="294"/>
    </row>
    <row r="53" spans="2:8" ht="15" customHeight="1">
      <c r="B53" s="53" t="s">
        <v>284</v>
      </c>
      <c r="D53" s="100">
        <f>IF(E53="Strongly disagree",0,IF(E53="disagree",1,IF(E53="unclear",2,IF(E53="agree",3,4))))</f>
        <v>4</v>
      </c>
      <c r="E53" s="31" t="s">
        <v>158</v>
      </c>
      <c r="F53" s="53"/>
      <c r="G53" s="294"/>
      <c r="H53" s="53"/>
    </row>
    <row r="54" spans="2:8" ht="15" customHeight="1">
      <c r="B54" s="53" t="s">
        <v>285</v>
      </c>
      <c r="D54" s="104">
        <f t="array" ref="D54">(1-INDEX(B68:E77,MATCH(E54,B68:B77,0),4))*4</f>
        <v>2.3129251700680271</v>
      </c>
      <c r="E54" s="31" t="s">
        <v>337</v>
      </c>
      <c r="F54" s="53"/>
      <c r="G54" s="294"/>
      <c r="H54" s="53"/>
    </row>
    <row r="55" spans="2:8" ht="15" customHeight="1">
      <c r="B55" s="1" t="s">
        <v>183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>
      <c r="B56" s="53" t="s">
        <v>184</v>
      </c>
      <c r="D56" s="100">
        <f t="shared" ref="D56:D60" si="7">IF(E56="Strongly disagree",0,IF(E56="disagree",1,IF(E56="unclear",2,IF(E56="agree",3,4))))</f>
        <v>4</v>
      </c>
      <c r="E56" s="31" t="s">
        <v>158</v>
      </c>
      <c r="F56" s="53"/>
      <c r="G56" s="294"/>
      <c r="H56" s="53"/>
    </row>
    <row r="57" spans="2:8" ht="15" customHeight="1">
      <c r="B57" s="53" t="s">
        <v>185</v>
      </c>
      <c r="D57" s="100">
        <f t="shared" si="7"/>
        <v>4</v>
      </c>
      <c r="E57" s="31" t="s">
        <v>158</v>
      </c>
      <c r="F57" s="53"/>
      <c r="G57" s="294"/>
      <c r="H57" s="53"/>
    </row>
    <row r="58" spans="2:8" ht="15" customHeight="1">
      <c r="B58" s="53" t="s">
        <v>206</v>
      </c>
      <c r="D58" s="100">
        <f t="shared" si="7"/>
        <v>3</v>
      </c>
      <c r="E58" s="31" t="s">
        <v>149</v>
      </c>
      <c r="F58" s="53"/>
      <c r="G58" s="294"/>
      <c r="H58" s="53"/>
    </row>
    <row r="59" spans="2:8" ht="15" customHeight="1">
      <c r="B59" s="53" t="s">
        <v>207</v>
      </c>
      <c r="D59" s="100">
        <f t="shared" si="7"/>
        <v>4</v>
      </c>
      <c r="E59" s="31" t="s">
        <v>158</v>
      </c>
      <c r="F59" s="53"/>
      <c r="G59" s="294"/>
      <c r="H59" s="53"/>
    </row>
    <row r="60" spans="2:8" ht="15" customHeight="1">
      <c r="B60" s="53" t="s">
        <v>208</v>
      </c>
      <c r="D60" s="100">
        <f t="shared" si="7"/>
        <v>4</v>
      </c>
      <c r="E60" s="31" t="s">
        <v>158</v>
      </c>
      <c r="F60" s="53"/>
      <c r="G60" s="294"/>
      <c r="H60" s="53"/>
    </row>
    <row r="61" spans="2:8" ht="15" customHeight="1">
      <c r="B61" s="53" t="s">
        <v>209</v>
      </c>
      <c r="D61" s="100">
        <f>IF(E61="Strongly disagree",0,IF(E61="disagree",1,IF(E61="non-perishable",2,IF(E61="agree",3,4))))</f>
        <v>3</v>
      </c>
      <c r="E61" s="31" t="s">
        <v>149</v>
      </c>
      <c r="F61" s="53"/>
      <c r="G61" s="294"/>
      <c r="H61" s="53"/>
    </row>
    <row r="62" spans="2:8" ht="15" customHeight="1">
      <c r="B62" s="146" t="s">
        <v>186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>
      <c r="D63" s="6"/>
      <c r="G63" s="294"/>
    </row>
    <row r="64" spans="2:8" ht="15" customHeight="1">
      <c r="B64" s="97" t="s">
        <v>187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>
      <c r="G65" s="295"/>
    </row>
    <row r="66" spans="2:7" ht="15" customHeight="1">
      <c r="B66" s="54" t="s">
        <v>188</v>
      </c>
      <c r="C66" s="7"/>
      <c r="D66" s="7"/>
      <c r="E66" s="55"/>
    </row>
    <row r="67" spans="2:7" ht="15" customHeight="1">
      <c r="B67" s="106" t="s">
        <v>189</v>
      </c>
      <c r="C67" s="107"/>
      <c r="D67" s="107"/>
      <c r="E67" s="108"/>
    </row>
    <row r="68" spans="2:7" ht="15" customHeight="1">
      <c r="B68" s="109" t="s">
        <v>190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>
      <c r="B69" s="109" t="str">
        <f t="shared" ref="B69:B77" si="9">C69&amp;", "&amp;D69&amp;"y"</f>
        <v>Information Technology Like, 6.6y</v>
      </c>
      <c r="C69" s="107" t="s">
        <v>191</v>
      </c>
      <c r="D69" s="107">
        <v>6.6</v>
      </c>
      <c r="E69" s="110">
        <f t="shared" si="8"/>
        <v>0.22448979591836735</v>
      </c>
    </row>
    <row r="70" spans="2:7" ht="15" customHeight="1">
      <c r="B70" s="109" t="str">
        <f t="shared" si="9"/>
        <v>Healthcare, 11.4y</v>
      </c>
      <c r="C70" s="107" t="s">
        <v>192</v>
      </c>
      <c r="D70" s="107">
        <v>11.4</v>
      </c>
      <c r="E70" s="110">
        <f t="shared" si="8"/>
        <v>0.38775510204081637</v>
      </c>
    </row>
    <row r="71" spans="2:7" ht="15" customHeight="1">
      <c r="B71" s="109" t="str">
        <f t="shared" si="9"/>
        <v>Consumer Discretionary, 12.4y</v>
      </c>
      <c r="C71" s="107" t="s">
        <v>193</v>
      </c>
      <c r="D71" s="107">
        <v>12.4</v>
      </c>
      <c r="E71" s="110">
        <f t="shared" si="8"/>
        <v>0.42176870748299322</v>
      </c>
    </row>
    <row r="72" spans="2:7" ht="15" customHeight="1">
      <c r="B72" s="109" t="str">
        <f t="shared" si="9"/>
        <v>Consumer Staples, 15.1y</v>
      </c>
      <c r="C72" s="107" t="s">
        <v>194</v>
      </c>
      <c r="D72" s="107">
        <v>15.1</v>
      </c>
      <c r="E72" s="110">
        <f t="shared" si="8"/>
        <v>0.51360544217687076</v>
      </c>
    </row>
    <row r="73" spans="2:7" ht="15" customHeight="1">
      <c r="B73" s="109" t="str">
        <f t="shared" si="9"/>
        <v>Industrials, 15.4y</v>
      </c>
      <c r="C73" s="107" t="s">
        <v>195</v>
      </c>
      <c r="D73" s="107">
        <v>15.4</v>
      </c>
      <c r="E73" s="110">
        <f t="shared" si="8"/>
        <v>0.52380952380952384</v>
      </c>
    </row>
    <row r="74" spans="2:7" ht="15" customHeight="1">
      <c r="B74" s="109" t="str">
        <f t="shared" si="9"/>
        <v>Telecommunication Services, 16.1y</v>
      </c>
      <c r="C74" s="107" t="s">
        <v>196</v>
      </c>
      <c r="D74" s="107">
        <v>16.100000000000001</v>
      </c>
      <c r="E74" s="110">
        <f t="shared" si="8"/>
        <v>0.54761904761904767</v>
      </c>
    </row>
    <row r="75" spans="2:7" ht="15" customHeight="1">
      <c r="B75" s="109" t="str">
        <f t="shared" si="9"/>
        <v>Energy, 17.6y</v>
      </c>
      <c r="C75" s="107" t="s">
        <v>197</v>
      </c>
      <c r="D75" s="107">
        <v>17.600000000000001</v>
      </c>
      <c r="E75" s="110">
        <f t="shared" si="8"/>
        <v>0.59863945578231303</v>
      </c>
    </row>
    <row r="76" spans="2:7" ht="15" customHeight="1">
      <c r="B76" s="109" t="str">
        <f t="shared" si="9"/>
        <v>Materials, 18.6y</v>
      </c>
      <c r="C76" s="107" t="s">
        <v>198</v>
      </c>
      <c r="D76" s="107">
        <v>18.600000000000001</v>
      </c>
      <c r="E76" s="110">
        <f t="shared" si="8"/>
        <v>0.63265306122448983</v>
      </c>
    </row>
    <row r="77" spans="2:7" ht="15" customHeight="1">
      <c r="B77" s="111" t="str">
        <f t="shared" si="9"/>
        <v>Utilities, 29.4y</v>
      </c>
      <c r="C77" s="112" t="s">
        <v>199</v>
      </c>
      <c r="D77" s="112">
        <v>29.4</v>
      </c>
      <c r="E77" s="113">
        <f>D77/MAX($D$69:$D$77)</f>
        <v>1</v>
      </c>
    </row>
  </sheetData>
  <dataConsolidate/>
  <phoneticPr fontId="32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2023-04-13T09:19:45Z</dcterms:modified>
  <cp:category/>
  <cp:contentStatus/>
</cp:coreProperties>
</file>