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7DA5E130-4DF0-4A47-BB37-34C853B2869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 Models" sheetId="4" r:id="rId6"/>
    <sheet name="Qualitative 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O141" i="8" l="1"/>
  <c r="M141" i="8"/>
  <c r="I141" i="8"/>
  <c r="C29" i="3"/>
  <c r="D16" i="4"/>
  <c r="D15" i="4"/>
  <c r="D17" i="4"/>
  <c r="J129" i="8"/>
  <c r="K129" i="8"/>
  <c r="L129" i="8"/>
  <c r="M129" i="8"/>
  <c r="L128" i="8"/>
  <c r="M128" i="8"/>
  <c r="J127" i="8"/>
  <c r="K127" i="8"/>
  <c r="L127" i="8"/>
  <c r="M127" i="8"/>
  <c r="J126" i="8"/>
  <c r="K126" i="8"/>
  <c r="L126" i="8"/>
  <c r="M126" i="8"/>
  <c r="J125" i="8"/>
  <c r="K125" i="8"/>
  <c r="L125" i="8"/>
  <c r="M125" i="8"/>
  <c r="I138" i="8" s="1"/>
  <c r="O138" i="8" s="1"/>
  <c r="C21" i="2"/>
  <c r="C52" i="2" s="1"/>
  <c r="C45" i="2"/>
  <c r="J102" i="8"/>
  <c r="K102" i="8"/>
  <c r="L102" i="8"/>
  <c r="M102" i="8"/>
  <c r="J97" i="8"/>
  <c r="K97" i="8"/>
  <c r="L97" i="8"/>
  <c r="M97" i="8"/>
  <c r="J96" i="8"/>
  <c r="L96" i="8"/>
  <c r="K96" i="8"/>
  <c r="M96" i="8"/>
  <c r="D94" i="8"/>
  <c r="E94" i="8"/>
  <c r="F94" i="8"/>
  <c r="G94" i="8"/>
  <c r="H94" i="8"/>
  <c r="I94" i="8"/>
  <c r="J94" i="8"/>
  <c r="K94" i="8"/>
  <c r="L94" i="8"/>
  <c r="M94" i="8"/>
  <c r="C94" i="8"/>
  <c r="M68" i="8"/>
  <c r="M93" i="8" s="1"/>
  <c r="M100" i="8" s="1"/>
  <c r="E42" i="8"/>
  <c r="F42" i="8"/>
  <c r="G42" i="8"/>
  <c r="H42" i="8"/>
  <c r="I42" i="8"/>
  <c r="I43" i="8" s="1"/>
  <c r="J42" i="8"/>
  <c r="J43" i="8" s="1"/>
  <c r="K42" i="8"/>
  <c r="K43" i="8" s="1"/>
  <c r="L42" i="8"/>
  <c r="M42" i="8"/>
  <c r="D42" i="8"/>
  <c r="D46" i="8"/>
  <c r="E46" i="8"/>
  <c r="F46" i="8"/>
  <c r="G46" i="8"/>
  <c r="H46" i="8"/>
  <c r="I46" i="8"/>
  <c r="J46" i="8"/>
  <c r="K46" i="8"/>
  <c r="L46" i="8"/>
  <c r="M46" i="8"/>
  <c r="D41" i="8"/>
  <c r="E41" i="8"/>
  <c r="F41" i="8"/>
  <c r="G41" i="8"/>
  <c r="H41" i="8"/>
  <c r="I41" i="8"/>
  <c r="J41" i="8"/>
  <c r="K41" i="8"/>
  <c r="L41" i="8"/>
  <c r="M41" i="8"/>
  <c r="L39" i="8"/>
  <c r="K39" i="8" s="1"/>
  <c r="J39" i="8" s="1"/>
  <c r="I39" i="8" s="1"/>
  <c r="H39" i="8" s="1"/>
  <c r="G39" i="8" s="1"/>
  <c r="F39" i="8" s="1"/>
  <c r="E39" i="8" s="1"/>
  <c r="D39" i="8" s="1"/>
  <c r="C39" i="8" s="1"/>
  <c r="C68" i="8" s="1"/>
  <c r="C93" i="8" s="1"/>
  <c r="C100" i="8" s="1"/>
  <c r="D43" i="7"/>
  <c r="E43" i="7"/>
  <c r="F43" i="7"/>
  <c r="D44" i="7"/>
  <c r="E44" i="7"/>
  <c r="F44" i="7"/>
  <c r="D45" i="7"/>
  <c r="E45" i="7"/>
  <c r="F45" i="7"/>
  <c r="D42" i="7"/>
  <c r="E42" i="7"/>
  <c r="F42" i="7"/>
  <c r="C43" i="7"/>
  <c r="C44" i="7"/>
  <c r="C45" i="7"/>
  <c r="C42" i="7"/>
  <c r="B67" i="7"/>
  <c r="B63" i="7"/>
  <c r="B30" i="7"/>
  <c r="C64" i="7"/>
  <c r="D64" i="7"/>
  <c r="E64" i="7"/>
  <c r="F64" i="7"/>
  <c r="C9" i="7"/>
  <c r="C72" i="7" s="1"/>
  <c r="C74" i="7" s="1"/>
  <c r="D9" i="7"/>
  <c r="D72" i="7" s="1"/>
  <c r="D74" i="7" s="1"/>
  <c r="E9" i="7"/>
  <c r="E72" i="7" s="1"/>
  <c r="E74" i="7" s="1"/>
  <c r="F9" i="7"/>
  <c r="F72" i="7" s="1"/>
  <c r="F74" i="7" s="1"/>
  <c r="C7" i="7"/>
  <c r="C8" i="7" s="1"/>
  <c r="F26" i="2"/>
  <c r="E26" i="2"/>
  <c r="F24" i="2"/>
  <c r="E24" i="2"/>
  <c r="F7" i="7"/>
  <c r="F6" i="7" s="1"/>
  <c r="F67" i="7" s="1"/>
  <c r="F68" i="7" s="1"/>
  <c r="E7" i="7"/>
  <c r="E5" i="7" s="1"/>
  <c r="E63" i="7" s="1"/>
  <c r="D7" i="7"/>
  <c r="D6" i="7" s="1"/>
  <c r="F11" i="2"/>
  <c r="C13" i="7" s="1"/>
  <c r="E11" i="2"/>
  <c r="D13" i="7" s="1"/>
  <c r="D26" i="2"/>
  <c r="C26" i="2"/>
  <c r="D24" i="2"/>
  <c r="C24" i="2"/>
  <c r="D11" i="2"/>
  <c r="E13" i="7" s="1"/>
  <c r="C11" i="2"/>
  <c r="F13" i="7" s="1"/>
  <c r="I15" i="3"/>
  <c r="C36" i="3"/>
  <c r="C17" i="3"/>
  <c r="C14" i="3"/>
  <c r="C37" i="1"/>
  <c r="B18" i="1" s="1"/>
  <c r="J20" i="1"/>
  <c r="F42" i="1"/>
  <c r="I20" i="7"/>
  <c r="F4" i="4"/>
  <c r="F5" i="4" s="1"/>
  <c r="B5" i="4"/>
  <c r="F36" i="2"/>
  <c r="F38" i="2" s="1"/>
  <c r="G36" i="2"/>
  <c r="G38" i="2" s="1"/>
  <c r="H36" i="2"/>
  <c r="H38" i="2" s="1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1" i="7"/>
  <c r="D61" i="2"/>
  <c r="E61" i="2"/>
  <c r="B8" i="4"/>
  <c r="B12" i="4" s="1"/>
  <c r="J10" i="1"/>
  <c r="E5" i="1"/>
  <c r="M37" i="2" l="1"/>
  <c r="L37" i="2"/>
  <c r="K37" i="2"/>
  <c r="F37" i="2"/>
  <c r="J37" i="2"/>
  <c r="I37" i="2"/>
  <c r="H37" i="2"/>
  <c r="G37" i="2"/>
  <c r="G7" i="7"/>
  <c r="H43" i="8"/>
  <c r="M43" i="8"/>
  <c r="D67" i="7"/>
  <c r="D68" i="7" s="1"/>
  <c r="G43" i="8"/>
  <c r="L43" i="8"/>
  <c r="F43" i="8"/>
  <c r="F68" i="8"/>
  <c r="F93" i="8" s="1"/>
  <c r="F100" i="8" s="1"/>
  <c r="J68" i="8"/>
  <c r="J93" i="8" s="1"/>
  <c r="J100" i="8" s="1"/>
  <c r="E43" i="8"/>
  <c r="G68" i="8"/>
  <c r="G93" i="8" s="1"/>
  <c r="G100" i="8" s="1"/>
  <c r="E68" i="8"/>
  <c r="E93" i="8" s="1"/>
  <c r="E100" i="8" s="1"/>
  <c r="L68" i="8"/>
  <c r="L93" i="8" s="1"/>
  <c r="L100" i="8" s="1"/>
  <c r="D68" i="8"/>
  <c r="D93" i="8" s="1"/>
  <c r="D100" i="8" s="1"/>
  <c r="K68" i="8"/>
  <c r="K93" i="8" s="1"/>
  <c r="K100" i="8" s="1"/>
  <c r="I68" i="8"/>
  <c r="I93" i="8" s="1"/>
  <c r="I100" i="8" s="1"/>
  <c r="H68" i="8"/>
  <c r="H93" i="8" s="1"/>
  <c r="H100" i="8" s="1"/>
  <c r="E65" i="7"/>
  <c r="E4" i="7"/>
  <c r="E30" i="7" s="1"/>
  <c r="C10" i="7"/>
  <c r="E12" i="7"/>
  <c r="C5" i="7"/>
  <c r="C63" i="7" s="1"/>
  <c r="C65" i="7" s="1"/>
  <c r="D12" i="7"/>
  <c r="C6" i="7"/>
  <c r="C67" i="7" s="1"/>
  <c r="C68" i="7" s="1"/>
  <c r="C12" i="7"/>
  <c r="E10" i="7"/>
  <c r="C11" i="7"/>
  <c r="C16" i="7" s="1"/>
  <c r="C14" i="7" s="1"/>
  <c r="D8" i="7"/>
  <c r="E11" i="7"/>
  <c r="E16" i="7" s="1"/>
  <c r="E14" i="7" s="1"/>
  <c r="C4" i="7"/>
  <c r="C30" i="7" s="1"/>
  <c r="E8" i="7"/>
  <c r="E6" i="7"/>
  <c r="E67" i="7" s="1"/>
  <c r="E68" i="7" s="1"/>
  <c r="D10" i="7"/>
  <c r="D4" i="7"/>
  <c r="D30" i="7" s="1"/>
  <c r="D11" i="7"/>
  <c r="D16" i="7" s="1"/>
  <c r="F4" i="7"/>
  <c r="F30" i="7" s="1"/>
  <c r="F5" i="7"/>
  <c r="F63" i="7" s="1"/>
  <c r="F65" i="7" s="1"/>
  <c r="D5" i="7"/>
  <c r="D63" i="7" s="1"/>
  <c r="D65" i="7" s="1"/>
  <c r="B6" i="4"/>
  <c r="B9" i="4"/>
  <c r="J27" i="1"/>
  <c r="C31" i="4"/>
  <c r="C35" i="4"/>
  <c r="G27" i="4"/>
  <c r="D14" i="7" l="1"/>
  <c r="D15" i="7"/>
  <c r="C34" i="7"/>
  <c r="C31" i="7"/>
  <c r="C52" i="7" s="1"/>
  <c r="C32" i="7"/>
  <c r="C53" i="7" s="1"/>
  <c r="C33" i="7"/>
  <c r="C54" i="7" s="1"/>
  <c r="F32" i="7"/>
  <c r="F53" i="7" s="1"/>
  <c r="F33" i="7"/>
  <c r="F54" i="7" s="1"/>
  <c r="F34" i="7"/>
  <c r="F55" i="7" s="1"/>
  <c r="F31" i="7"/>
  <c r="F52" i="7" s="1"/>
  <c r="E31" i="7"/>
  <c r="E52" i="7" s="1"/>
  <c r="E32" i="7"/>
  <c r="E53" i="7" s="1"/>
  <c r="E33" i="7"/>
  <c r="E54" i="7" s="1"/>
  <c r="E34" i="7"/>
  <c r="E55" i="7" s="1"/>
  <c r="D34" i="7"/>
  <c r="D55" i="7" s="1"/>
  <c r="D33" i="7"/>
  <c r="D54" i="7" s="1"/>
  <c r="D31" i="7"/>
  <c r="D52" i="7" s="1"/>
  <c r="D32" i="7"/>
  <c r="D53" i="7" s="1"/>
  <c r="C55" i="7"/>
  <c r="D51" i="7"/>
  <c r="C51" i="7"/>
  <c r="F51" i="7"/>
  <c r="E51" i="7"/>
  <c r="E15" i="7"/>
  <c r="G21" i="7"/>
  <c r="G8" i="7"/>
  <c r="G20" i="7" s="1"/>
  <c r="E53" i="2" l="1"/>
  <c r="F53" i="2"/>
  <c r="G53" i="2"/>
  <c r="H53" i="2"/>
  <c r="I53" i="2"/>
  <c r="J53" i="2"/>
  <c r="K53" i="2"/>
  <c r="L53" i="2"/>
  <c r="M53" i="2"/>
  <c r="D53" i="2"/>
  <c r="E52" i="2"/>
  <c r="F52" i="2"/>
  <c r="G52" i="2"/>
  <c r="H52" i="2"/>
  <c r="I52" i="2"/>
  <c r="J52" i="2"/>
  <c r="K52" i="2"/>
  <c r="L52" i="2"/>
  <c r="M52" i="2"/>
  <c r="D52" i="2"/>
  <c r="C53" i="2"/>
  <c r="B16" i="1"/>
  <c r="H2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C58" i="3" s="1"/>
  <c r="G35" i="3"/>
  <c r="D53" i="3"/>
  <c r="I53" i="3" s="1"/>
  <c r="D3" i="5"/>
  <c r="D4" i="5"/>
  <c r="D12" i="5"/>
  <c r="D13" i="5"/>
  <c r="D14" i="5"/>
  <c r="D15" i="5"/>
  <c r="D16" i="5"/>
  <c r="D24" i="5"/>
  <c r="D25" i="5"/>
  <c r="D26" i="5"/>
  <c r="D27" i="5"/>
  <c r="D28" i="5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B15" i="1"/>
  <c r="G21" i="4"/>
  <c r="F21" i="4"/>
  <c r="C12" i="1"/>
  <c r="C11" i="1" s="1"/>
  <c r="D35" i="2"/>
  <c r="D36" i="2" s="1"/>
  <c r="D37" i="2" s="1"/>
  <c r="E6" i="1"/>
  <c r="F3" i="7" s="1"/>
  <c r="E28" i="1"/>
  <c r="E7" i="3"/>
  <c r="G55" i="2"/>
  <c r="H55" i="2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59" i="3"/>
  <c r="E49" i="2"/>
  <c r="F49" i="2"/>
  <c r="G49" i="2"/>
  <c r="H49" i="2"/>
  <c r="I49" i="2"/>
  <c r="J49" i="2"/>
  <c r="K49" i="2"/>
  <c r="L49" i="2"/>
  <c r="M49" i="2"/>
  <c r="D49" i="2"/>
  <c r="E45" i="2"/>
  <c r="F45" i="2"/>
  <c r="G45" i="2"/>
  <c r="H45" i="2"/>
  <c r="I45" i="2"/>
  <c r="J45" i="2"/>
  <c r="K45" i="2"/>
  <c r="L45" i="2"/>
  <c r="M45" i="2"/>
  <c r="H46" i="2"/>
  <c r="I46" i="2"/>
  <c r="J46" i="2"/>
  <c r="K46" i="2"/>
  <c r="L46" i="2"/>
  <c r="M46" i="2"/>
  <c r="D45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I8" i="3" s="1"/>
  <c r="C14" i="2"/>
  <c r="G28" i="2"/>
  <c r="G46" i="2" s="1"/>
  <c r="H28" i="2"/>
  <c r="I28" i="2"/>
  <c r="J28" i="2"/>
  <c r="K28" i="2"/>
  <c r="L28" i="2"/>
  <c r="M28" i="2"/>
  <c r="J12" i="1"/>
  <c r="E4" i="2"/>
  <c r="M35" i="2"/>
  <c r="L35" i="2"/>
  <c r="K35" i="2"/>
  <c r="J35" i="2"/>
  <c r="I35" i="2"/>
  <c r="H35" i="2"/>
  <c r="G35" i="2"/>
  <c r="F35" i="2"/>
  <c r="C8" i="2"/>
  <c r="F8" i="7" s="1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J14" i="2"/>
  <c r="I10" i="2"/>
  <c r="H14" i="2"/>
  <c r="G14" i="2"/>
  <c r="G16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5" i="2"/>
  <c r="E36" i="2" s="1"/>
  <c r="E37" i="2" s="1"/>
  <c r="C49" i="2"/>
  <c r="D14" i="2"/>
  <c r="H12" i="2"/>
  <c r="L12" i="2"/>
  <c r="F10" i="2"/>
  <c r="J10" i="2"/>
  <c r="J12" i="2"/>
  <c r="E14" i="2"/>
  <c r="K101" i="8" s="1"/>
  <c r="K103" i="8" s="1"/>
  <c r="I14" i="2"/>
  <c r="K12" i="2"/>
  <c r="C35" i="2"/>
  <c r="H17" i="2"/>
  <c r="K17" i="2"/>
  <c r="J17" i="2"/>
  <c r="I12" i="2"/>
  <c r="L17" i="2"/>
  <c r="I17" i="2"/>
  <c r="D16" i="2" l="1"/>
  <c r="D38" i="2" s="1"/>
  <c r="L101" i="8"/>
  <c r="L103" i="8" s="1"/>
  <c r="I16" i="2"/>
  <c r="I48" i="2" s="1"/>
  <c r="C16" i="2"/>
  <c r="C17" i="2" s="1"/>
  <c r="M101" i="8"/>
  <c r="M103" i="8" s="1"/>
  <c r="F16" i="2"/>
  <c r="J101" i="8"/>
  <c r="J103" i="8" s="1"/>
  <c r="J13" i="2"/>
  <c r="J51" i="2" s="1"/>
  <c r="J54" i="2" s="1"/>
  <c r="J16" i="2"/>
  <c r="L47" i="2"/>
  <c r="L16" i="2"/>
  <c r="L48" i="2" s="1"/>
  <c r="K47" i="2"/>
  <c r="K16" i="2"/>
  <c r="K48" i="2" s="1"/>
  <c r="C46" i="2"/>
  <c r="E3" i="7"/>
  <c r="F26" i="7"/>
  <c r="H16" i="2"/>
  <c r="H48" i="2" s="1"/>
  <c r="L15" i="2"/>
  <c r="M16" i="2"/>
  <c r="M48" i="2" s="1"/>
  <c r="E13" i="2"/>
  <c r="E51" i="2" s="1"/>
  <c r="E54" i="2" s="1"/>
  <c r="E16" i="2"/>
  <c r="E38" i="2" s="1"/>
  <c r="C36" i="2"/>
  <c r="C37" i="2" s="1"/>
  <c r="F20" i="7"/>
  <c r="F22" i="7" s="1"/>
  <c r="C7" i="4" s="1"/>
  <c r="C25" i="3"/>
  <c r="I7" i="3" s="1"/>
  <c r="F12" i="7"/>
  <c r="G12" i="7" s="1"/>
  <c r="G48" i="2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8" i="2"/>
  <c r="J47" i="2"/>
  <c r="J15" i="2"/>
  <c r="L13" i="2"/>
  <c r="L51" i="2" s="1"/>
  <c r="L54" i="2" s="1"/>
  <c r="K13" i="2"/>
  <c r="K51" i="2" s="1"/>
  <c r="K54" i="2" s="1"/>
  <c r="K15" i="2"/>
  <c r="M47" i="2"/>
  <c r="H13" i="2"/>
  <c r="H51" i="2" s="1"/>
  <c r="H54" i="2" s="1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F11" i="7"/>
  <c r="F16" i="7" s="1"/>
  <c r="D52" i="3"/>
  <c r="C30" i="4" s="1"/>
  <c r="D30" i="4" s="1"/>
  <c r="G30" i="4" s="1"/>
  <c r="C46" i="3"/>
  <c r="E3" i="3" s="1"/>
  <c r="E26" i="3"/>
  <c r="D26" i="3" s="1"/>
  <c r="E59" i="3"/>
  <c r="C15" i="4" s="1"/>
  <c r="F47" i="2"/>
  <c r="C13" i="2"/>
  <c r="F10" i="7"/>
  <c r="G10" i="7" s="1"/>
  <c r="I9" i="7" s="1"/>
  <c r="I11" i="7" s="1"/>
  <c r="E24" i="3"/>
  <c r="I24" i="3" s="1"/>
  <c r="J24" i="3" s="1"/>
  <c r="E42" i="3"/>
  <c r="D42" i="3" s="1"/>
  <c r="E58" i="3"/>
  <c r="D58" i="3" s="1"/>
  <c r="C44" i="3"/>
  <c r="I6" i="3"/>
  <c r="E34" i="1"/>
  <c r="I33" i="1"/>
  <c r="I34" i="1" s="1"/>
  <c r="I35" i="1" s="1"/>
  <c r="E50" i="3"/>
  <c r="I29" i="1"/>
  <c r="E15" i="2"/>
  <c r="F13" i="2"/>
  <c r="E47" i="2"/>
  <c r="D17" i="2"/>
  <c r="D48" i="2"/>
  <c r="D15" i="2"/>
  <c r="D47" i="2"/>
  <c r="D13" i="2"/>
  <c r="C15" i="2"/>
  <c r="C47" i="2"/>
  <c r="G3" i="7"/>
  <c r="G26" i="7" s="1"/>
  <c r="C3" i="4"/>
  <c r="C27" i="4" s="1"/>
  <c r="J16" i="1"/>
  <c r="C20" i="4"/>
  <c r="B3" i="7"/>
  <c r="F4" i="2" l="1"/>
  <c r="E12" i="2"/>
  <c r="K95" i="8" s="1"/>
  <c r="C48" i="2"/>
  <c r="D3" i="7"/>
  <c r="E26" i="7"/>
  <c r="F14" i="7"/>
  <c r="F15" i="7"/>
  <c r="C38" i="2"/>
  <c r="E55" i="2"/>
  <c r="I16" i="7"/>
  <c r="I14" i="7" s="1"/>
  <c r="G13" i="7"/>
  <c r="C45" i="3"/>
  <c r="C17" i="4"/>
  <c r="C32" i="4"/>
  <c r="G12" i="2"/>
  <c r="D46" i="4"/>
  <c r="G9" i="7"/>
  <c r="G11" i="7" s="1"/>
  <c r="D59" i="3"/>
  <c r="E44" i="3"/>
  <c r="I44" i="3" s="1"/>
  <c r="J44" i="3" s="1"/>
  <c r="D12" i="2"/>
  <c r="L95" i="8" s="1"/>
  <c r="D51" i="2"/>
  <c r="D54" i="2" s="1"/>
  <c r="D55" i="2" s="1"/>
  <c r="C12" i="2"/>
  <c r="M95" i="8" s="1"/>
  <c r="C51" i="2"/>
  <c r="C54" i="2" s="1"/>
  <c r="F12" i="2"/>
  <c r="J95" i="8" s="1"/>
  <c r="F51" i="2"/>
  <c r="F54" i="2" s="1"/>
  <c r="F55" i="2" s="1"/>
  <c r="E46" i="3"/>
  <c r="D46" i="3" s="1"/>
  <c r="C16" i="4"/>
  <c r="D62" i="5"/>
  <c r="E62" i="5" s="1"/>
  <c r="D60" i="3"/>
  <c r="E35" i="1"/>
  <c r="C38" i="1"/>
  <c r="D3" i="4"/>
  <c r="D27" i="4" s="1"/>
  <c r="F19" i="7"/>
  <c r="C18" i="4"/>
  <c r="D18" i="4" s="1"/>
  <c r="D50" i="3"/>
  <c r="E25" i="3"/>
  <c r="D24" i="3"/>
  <c r="D49" i="3"/>
  <c r="F17" i="2"/>
  <c r="F48" i="2"/>
  <c r="E48" i="2"/>
  <c r="E17" i="2"/>
  <c r="C3" i="7" l="1"/>
  <c r="C26" i="7" s="1"/>
  <c r="D26" i="7"/>
  <c r="F23" i="7"/>
  <c r="I21" i="7"/>
  <c r="I22" i="7"/>
  <c r="C4" i="4"/>
  <c r="C6" i="4" s="1"/>
  <c r="F24" i="7"/>
  <c r="C55" i="2"/>
  <c r="G16" i="7"/>
  <c r="D6" i="3"/>
  <c r="D7" i="3" s="1"/>
  <c r="D44" i="3"/>
  <c r="E45" i="3"/>
  <c r="D45" i="3" s="1"/>
  <c r="G18" i="4"/>
  <c r="G15" i="4"/>
  <c r="F18" i="7"/>
  <c r="I25" i="3"/>
  <c r="J25" i="3" s="1"/>
  <c r="D25" i="3"/>
  <c r="G15" i="7" l="1"/>
  <c r="G14" i="7"/>
  <c r="C8" i="4"/>
  <c r="G17" i="7"/>
  <c r="G32" i="4" s="1"/>
  <c r="I45" i="3"/>
  <c r="J45" i="3" s="1"/>
  <c r="J26" i="3" s="1"/>
  <c r="G19" i="7" l="1"/>
  <c r="D31" i="4"/>
  <c r="D32" i="4" s="1"/>
  <c r="C9" i="4"/>
  <c r="C28" i="4"/>
  <c r="C33" i="4" s="1"/>
  <c r="C34" i="4" s="1"/>
  <c r="D18" i="5"/>
  <c r="E64" i="5" s="1"/>
  <c r="C37" i="4" s="1"/>
  <c r="F44" i="1"/>
  <c r="D4" i="4" l="1"/>
  <c r="G22" i="7"/>
  <c r="D7" i="4" s="1"/>
  <c r="G18" i="7"/>
  <c r="E18" i="5"/>
  <c r="F43" i="1"/>
  <c r="D64" i="5"/>
  <c r="E7" i="5" s="1"/>
  <c r="D7" i="5" s="1"/>
  <c r="D8" i="5" s="1"/>
  <c r="E8" i="5" s="1"/>
  <c r="F41" i="1" s="1"/>
  <c r="G40" i="4"/>
  <c r="G16" i="4" l="1"/>
  <c r="D23" i="4"/>
  <c r="D22" i="4"/>
  <c r="D5" i="4"/>
  <c r="C45" i="4"/>
  <c r="D6" i="4"/>
  <c r="G24" i="7"/>
  <c r="F18" i="4"/>
  <c r="F16" i="1"/>
  <c r="H16" i="1" s="1"/>
  <c r="D11" i="4"/>
  <c r="D38" i="4" s="1"/>
  <c r="D8" i="4"/>
  <c r="D28" i="4" s="1"/>
  <c r="E6" i="3"/>
  <c r="E17" i="4" l="1"/>
  <c r="D33" i="4"/>
  <c r="D34" i="4" s="1"/>
  <c r="D37" i="4" s="1"/>
  <c r="D39" i="4" s="1"/>
  <c r="G28" i="4"/>
  <c r="D9" i="4"/>
  <c r="D12" i="4" s="1"/>
  <c r="H9" i="7"/>
  <c r="H3" i="7"/>
  <c r="E3" i="4" l="1"/>
  <c r="E27" i="4" s="1"/>
  <c r="H26" i="7"/>
  <c r="G45" i="4"/>
  <c r="F45" i="4"/>
  <c r="E45" i="4"/>
  <c r="H11" i="7"/>
  <c r="H16" i="7" s="1"/>
  <c r="I15" i="7" l="1"/>
  <c r="I3" i="7" s="1"/>
  <c r="H17" i="7"/>
  <c r="H15" i="7"/>
  <c r="H14" i="7"/>
  <c r="F3" i="4" l="1"/>
  <c r="G4" i="4" s="1"/>
  <c r="B21" i="4" s="1"/>
  <c r="G2" i="4" s="1"/>
  <c r="G26" i="4" s="1"/>
  <c r="I26" i="7"/>
  <c r="E31" i="4"/>
  <c r="I17" i="7"/>
  <c r="H19" i="7"/>
  <c r="F27" i="4" l="1"/>
  <c r="E4" i="4"/>
  <c r="H22" i="7"/>
  <c r="E7" i="4" s="1"/>
  <c r="F31" i="4"/>
  <c r="I19" i="7"/>
  <c r="I24" i="7" s="1"/>
  <c r="H18" i="7"/>
  <c r="E5" i="4" l="1"/>
  <c r="H24" i="7"/>
  <c r="E8" i="4"/>
  <c r="E28" i="4" s="1"/>
  <c r="E32" i="4" s="1"/>
  <c r="F10" i="4"/>
  <c r="F35" i="4" s="1"/>
  <c r="F36" i="4" s="1"/>
  <c r="G31" i="4"/>
  <c r="F8" i="4"/>
  <c r="F28" i="4" s="1"/>
  <c r="F32" i="4" s="1"/>
  <c r="F33" i="4" s="1"/>
  <c r="F34" i="4" s="1"/>
  <c r="I18" i="7"/>
  <c r="G33" i="4"/>
  <c r="G34" i="4" s="1"/>
  <c r="G37" i="4" s="1"/>
  <c r="E10" i="4"/>
  <c r="E33" i="4" l="1"/>
  <c r="E34" i="4" s="1"/>
  <c r="F37" i="4"/>
  <c r="F9" i="4"/>
  <c r="G9" i="4"/>
  <c r="E35" i="4"/>
  <c r="F11" i="4"/>
  <c r="E11" i="4"/>
  <c r="E38" i="4" s="1"/>
  <c r="E9" i="4"/>
  <c r="F38" i="4" l="1"/>
  <c r="F39" i="4" s="1"/>
  <c r="F12" i="4"/>
  <c r="G11" i="4"/>
  <c r="E12" i="4"/>
  <c r="E22" i="4" l="1"/>
  <c r="F22" i="4" s="1"/>
  <c r="E23" i="4"/>
  <c r="F23" i="4" s="1"/>
  <c r="G23" i="4" s="1"/>
  <c r="G38" i="4"/>
  <c r="G22" i="4" l="1"/>
  <c r="E36" i="4"/>
  <c r="E37" i="4" s="1"/>
  <c r="G24" i="4" l="1"/>
  <c r="E39" i="4"/>
  <c r="G39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  <c r="M144" i="8"/>
  <c r="M146" i="8" s="1"/>
</calcChain>
</file>

<file path=xl/sharedStrings.xml><?xml version="1.0" encoding="utf-8"?>
<sst xmlns="http://schemas.openxmlformats.org/spreadsheetml/2006/main" count="526" uniqueCount="432">
  <si>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</si>
  <si>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</si>
  <si>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</si>
  <si>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</si>
  <si>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</si>
  <si>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</si>
  <si>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</si>
  <si>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</si>
  <si>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</si>
  <si>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</si>
  <si>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</si>
  <si>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</si>
  <si>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</si>
  <si>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</si>
  <si>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</si>
  <si>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</si>
  <si>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</si>
  <si>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</si>
  <si>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</si>
  <si>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</si>
  <si>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</si>
  <si>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</si>
  <si>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</si>
  <si>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</si>
  <si>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</si>
  <si>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</si>
  <si>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</si>
  <si>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</si>
  <si>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</si>
  <si>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</si>
  <si>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</si>
  <si>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</si>
  <si>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</si>
  <si>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</si>
  <si>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</si>
  <si>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</si>
  <si>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</si>
  <si>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</si>
  <si>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</si>
  <si>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</si>
  <si>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</si>
  <si>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</si>
  <si>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</si>
  <si>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</si>
  <si>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</si>
  <si>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</si>
  <si>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</si>
  <si>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</si>
  <si>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</si>
  <si>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</si>
  <si>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</si>
  <si>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</si>
  <si>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</si>
  <si>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</si>
  <si>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</si>
  <si>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</si>
  <si>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</si>
  <si>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</si>
  <si>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</si>
  <si>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</si>
  <si>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</si>
  <si>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</si>
  <si>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</si>
  <si>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</si>
  <si>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</si>
  <si>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</si>
  <si>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</si>
  <si>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</si>
  <si>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</si>
  <si>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</si>
  <si>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</si>
  <si>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</si>
  <si>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</si>
  <si>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</si>
  <si>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</si>
  <si>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</si>
  <si>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</si>
  <si>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</si>
  <si>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</si>
  <si>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</si>
  <si>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</si>
  <si>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</si>
  <si>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</si>
  <si>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</si>
  <si>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</si>
  <si>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</si>
  <si>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</si>
  <si>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</si>
  <si>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</si>
  <si>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</si>
  <si>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</si>
  <si>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</si>
  <si>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</si>
  <si>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</si>
  <si>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</si>
  <si>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</si>
  <si>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</si>
  <si>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</si>
  <si>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</si>
  <si>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</si>
  <si>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</si>
  <si>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</si>
  <si>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</si>
  <si>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</si>
  <si>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</si>
  <si>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</si>
  <si>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</si>
  <si>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</si>
  <si>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</si>
  <si>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</si>
  <si>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</si>
  <si>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</si>
  <si>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</si>
  <si>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</si>
  <si>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</si>
  <si>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</si>
  <si>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</si>
  <si>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</si>
  <si>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</si>
  <si>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</si>
  <si>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</si>
  <si>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</si>
  <si>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</si>
  <si>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</si>
  <si>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</si>
  <si>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</si>
  <si>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</si>
  <si>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</si>
  <si>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</si>
  <si>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</si>
  <si>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</si>
  <si>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</si>
  <si>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</si>
  <si>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</si>
  <si>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</si>
  <si>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</si>
  <si>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</si>
  <si>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</si>
  <si>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</si>
  <si>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</si>
  <si>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</si>
  <si>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</si>
  <si>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</si>
  <si>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</si>
  <si>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</si>
  <si>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</si>
  <si>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</si>
  <si>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</si>
  <si>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</si>
  <si>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</si>
  <si>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</si>
  <si>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</si>
  <si>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</si>
  <si>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</si>
  <si>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</si>
  <si>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</si>
  <si>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</si>
  <si>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</si>
  <si>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</si>
  <si>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</si>
  <si>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</si>
  <si>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</si>
  <si>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</si>
  <si>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</si>
  <si>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</si>
  <si>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</si>
  <si>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</si>
  <si>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</si>
  <si>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</si>
  <si>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</si>
  <si>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</si>
  <si>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</si>
  <si>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</si>
  <si>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</si>
  <si>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</si>
  <si>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</si>
  <si>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</si>
  <si>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</si>
  <si>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</si>
  <si>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</si>
  <si>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</si>
  <si>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</si>
  <si>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</si>
  <si>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</si>
  <si>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</si>
  <si>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</si>
  <si>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</si>
  <si>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</si>
  <si>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</si>
  <si>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</si>
  <si>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</si>
  <si>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</si>
  <si>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</si>
  <si>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</si>
  <si>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</si>
  <si>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</si>
  <si>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</si>
  <si>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</si>
  <si>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</si>
  <si>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</si>
  <si>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</si>
  <si>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</si>
  <si>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</si>
  <si>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</si>
  <si>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</si>
  <si>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</si>
  <si>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</si>
  <si>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</si>
  <si>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</si>
  <si>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</si>
  <si>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</si>
  <si>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</si>
  <si>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</si>
  <si>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</si>
  <si>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</si>
  <si>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</si>
  <si>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</si>
  <si>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</si>
  <si>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</si>
  <si>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</si>
  <si>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</si>
  <si>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</si>
  <si>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</si>
  <si>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</si>
  <si>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</si>
  <si>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</si>
  <si>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</si>
  <si>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</si>
  <si>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</si>
  <si>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</si>
  <si>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</si>
  <si>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</si>
  <si>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</si>
  <si>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</si>
  <si>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</si>
  <si>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</si>
  <si>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</si>
  <si>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</si>
  <si>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</si>
  <si>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</si>
  <si>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</si>
  <si>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</si>
  <si>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</si>
  <si>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</si>
  <si>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</si>
  <si>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</si>
  <si>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</si>
  <si>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</si>
  <si>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</si>
  <si>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</si>
  <si>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</si>
  <si>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</si>
  <si>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</si>
  <si>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</si>
  <si>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</si>
  <si>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</si>
  <si>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</si>
  <si>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</si>
  <si>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</si>
  <si>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</si>
  <si>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</si>
  <si>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</si>
  <si>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</si>
  <si>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</si>
  <si>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</si>
  <si>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</si>
  <si>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</si>
  <si>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</si>
  <si>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</si>
  <si>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</si>
  <si>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</si>
  <si>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</si>
  <si>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</si>
  <si>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</si>
  <si>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</si>
  <si>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</si>
  <si>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</si>
  <si>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</si>
  <si>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</si>
  <si>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</si>
  <si>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</si>
  <si>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</si>
  <si>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</si>
  <si>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</si>
  <si>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</si>
  <si>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</si>
  <si>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</si>
  <si>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</si>
  <si>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</si>
  <si>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</si>
  <si>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</si>
  <si>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</si>
  <si>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</si>
  <si>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</si>
  <si>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</si>
  <si>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</si>
  <si>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</si>
  <si>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</si>
  <si>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</si>
  <si>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</si>
  <si>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</si>
  <si>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</si>
  <si>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</si>
  <si>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</si>
  <si>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</si>
  <si>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</si>
  <si>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</si>
  <si>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</si>
  <si>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</si>
  <si>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</si>
  <si>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</si>
  <si>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</si>
  <si>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</si>
  <si>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</si>
  <si>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</si>
  <si>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</si>
  <si>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</si>
  <si>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</si>
  <si>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</si>
  <si>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</si>
  <si>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</si>
  <si>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</si>
  <si>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</si>
  <si>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</si>
  <si>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</si>
  <si>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</si>
  <si>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</si>
  <si>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</si>
  <si>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</si>
  <si>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</si>
  <si>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</si>
  <si>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</si>
  <si>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</si>
  <si>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</si>
  <si>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</si>
  <si>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</si>
  <si>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</si>
  <si>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</si>
  <si>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</si>
  <si>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</si>
  <si>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</si>
  <si>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</si>
  <si>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</si>
  <si>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</si>
  <si>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</si>
  <si>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FY</t>
  </si>
  <si>
    <t>Cyclicals</t>
  </si>
  <si>
    <t>Despite a cylical one</t>
  </si>
  <si>
    <t>High Overhead</t>
  </si>
  <si>
    <t>High R&amp;D Requirement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</si>
  <si>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</si>
  <si>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</si>
  <si>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</si>
  <si>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</si>
  <si>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</si>
  <si>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</si>
  <si>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</si>
  <si>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Best in China, but still not good</t>
  </si>
  <si>
    <t>Value @</t>
  </si>
  <si>
    <t>1600.HK</t>
  </si>
  <si>
    <t>天伦燃气</t>
  </si>
  <si>
    <t>ST AR + Contract Assets</t>
  </si>
  <si>
    <t>ST Financial Liabilities</t>
  </si>
  <si>
    <t>LT Financial Liabilities</t>
  </si>
  <si>
    <t>CNY</t>
  </si>
  <si>
    <t>PP&amp;E</t>
  </si>
  <si>
    <t>P/E</t>
  </si>
  <si>
    <t>其他</t>
  </si>
  <si>
    <t>Gross profit =</t>
  </si>
  <si>
    <t>交通用户</t>
  </si>
  <si>
    <t>批发业务</t>
  </si>
  <si>
    <t>原材料及消耗品</t>
  </si>
  <si>
    <t>每新增一户的收入(千元)</t>
  </si>
  <si>
    <t>LNG价格 (元/吨)</t>
  </si>
  <si>
    <t>Modeling Framework</t>
  </si>
  <si>
    <t>Operating Expense</t>
  </si>
  <si>
    <t>占比</t>
  </si>
  <si>
    <t>成本端:</t>
  </si>
  <si>
    <t>收入端:</t>
  </si>
  <si>
    <t>平均每立方米价格 (元)</t>
  </si>
  <si>
    <t>销气收入</t>
  </si>
  <si>
    <t>工程安装及服务收入</t>
  </si>
  <si>
    <t>住宅用户</t>
  </si>
  <si>
    <t>工商业用户</t>
  </si>
  <si>
    <t>总销气量 (万立方米)</t>
  </si>
  <si>
    <t>累计接驳用户</t>
  </si>
  <si>
    <t>城燃住宅用户</t>
  </si>
  <si>
    <t>乡镇住宅用户</t>
  </si>
  <si>
    <t>新增管道燃气用户</t>
  </si>
  <si>
    <t>增长空间分析：</t>
  </si>
  <si>
    <t>a. 河南气化率</t>
  </si>
  <si>
    <t>b. 世界主要国家气化率</t>
  </si>
  <si>
    <t>收入增長</t>
  </si>
  <si>
    <t>增速</t>
  </si>
  <si>
    <t>总消气量 （万立方米）</t>
  </si>
  <si>
    <t>新增用户</t>
  </si>
  <si>
    <t>华润燃气</t>
  </si>
  <si>
    <t>毛利率对比</t>
  </si>
  <si>
    <t>中国燃气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</si>
  <si>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</si>
  <si>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</si>
  <si>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</si>
  <si>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</si>
  <si>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</si>
  <si>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</si>
  <si>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</si>
  <si>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</si>
  <si>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</si>
  <si>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</si>
  <si>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</si>
  <si>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</si>
  <si>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</si>
  <si>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</si>
  <si>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</si>
  <si>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</si>
  <si>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</si>
  <si>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</si>
  <si>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</si>
  <si>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</si>
  <si>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operating assets =</t>
  </si>
  <si>
    <t>Earnings</t>
  </si>
  <si>
    <t>*</t>
  </si>
  <si>
    <t>P/E Ratio</t>
  </si>
  <si>
    <t xml:space="preserve">non-operating assts = </t>
  </si>
  <si>
    <t>BV</t>
  </si>
  <si>
    <t>discount factor</t>
  </si>
  <si>
    <t>Net Cash</t>
  </si>
  <si>
    <t>-</t>
  </si>
  <si>
    <t>intrinsic Value</t>
  </si>
  <si>
    <t>discount</t>
  </si>
  <si>
    <t>/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</si>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</sst>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4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3" fontId="8" fillId="0" borderId="9" xfId="0" applyNumberFormat="1" applyFont="1" applyBorder="1"/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 applyAlignment="1">
      <alignment horizontal="center"/>
    </xf>
    <xf numFmtId="0" fontId="8" fillId="0" borderId="15" xfId="0" applyFont="1" applyBorder="1"/>
    <xf numFmtId="3" fontId="1" fillId="0" borderId="15" xfId="0" applyNumberFormat="1" applyFont="1" applyBorder="1"/>
    <xf numFmtId="10" fontId="8" fillId="0" borderId="15" xfId="0" applyNumberFormat="1" applyFont="1" applyBorder="1" applyAlignment="1">
      <alignment horizontal="center"/>
    </xf>
    <xf numFmtId="167" fontId="8" fillId="2" borderId="15" xfId="0" applyNumberFormat="1" applyFont="1" applyFill="1" applyBorder="1" applyAlignment="1">
      <alignment horizontal="right"/>
    </xf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0" fontId="5" fillId="10" borderId="9" xfId="0" applyFont="1" applyFill="1" applyBorder="1"/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8" borderId="15" xfId="0" applyNumberFormat="1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3" fontId="5" fillId="13" borderId="9" xfId="0" applyNumberFormat="1" applyFont="1" applyFill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5" fillId="0" borderId="0" xfId="0" applyFont="1" applyAlignment="1">
      <alignment horizontal="right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77" fontId="14" fillId="0" borderId="2" xfId="0" applyNumberFormat="1" applyFont="1" applyBorder="1" applyAlignment="1">
      <alignment horizontal="center" vertical="center"/>
    </xf>
    <xf numFmtId="4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4" fontId="5" fillId="8" borderId="0" xfId="0" applyNumberFormat="1" applyFont="1" applyFill="1" applyAlignment="1">
      <alignment horizontal="center"/>
    </xf>
    <xf numFmtId="10" fontId="5" fillId="0" borderId="0" xfId="0" applyNumberFormat="1" applyFont="1" applyAlignment="1">
      <alignment horizontal="right"/>
    </xf>
    <xf numFmtId="0" fontId="24" fillId="0" borderId="0" xfId="0" applyFont="1" applyAlignment="1">
      <alignment horizontal="left"/>
    </xf>
    <xf numFmtId="3" fontId="24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center"/>
    </xf>
    <xf numFmtId="3" fontId="24" fillId="0" borderId="0" xfId="0" applyNumberFormat="1" applyFont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销气收入占比 </a:t>
            </a:r>
            <a:r>
              <a:rPr lang="en-US" altLang="zh-CN"/>
              <a:t>(</a:t>
            </a:r>
            <a:r>
              <a:rPr lang="zh-CN" altLang="en-US"/>
              <a:t>千元</a:t>
            </a:r>
            <a:r>
              <a:rPr lang="en-US" altLang="zh-CN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Projections!$B$35</c:f>
              <c:strCache>
                <c:ptCount val="1"/>
                <c:pt idx="0">
                  <c:v>住宅用户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Projections!$C$26:$F$26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Projections!$C$35:$F$35</c:f>
              <c:numCache>
                <c:formatCode>0.00%</c:formatCode>
                <c:ptCount val="4"/>
                <c:pt idx="0">
                  <c:v>0.18099999999999999</c:v>
                </c:pt>
                <c:pt idx="1">
                  <c:v>0.23499999999999999</c:v>
                </c:pt>
                <c:pt idx="2">
                  <c:v>0.19800000000000001</c:v>
                </c:pt>
                <c:pt idx="3">
                  <c:v>0.20899999999999999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9-4062-9E56-577229140C72}"/>
            </c:ext>
          </c:extLst>
        </c:ser>
        <c:ser>
          <c:idx val="1"/>
          <c:order val="1"/>
          <c:tx>
            <c:strRef>
              <c:f>Projections!$B$36</c:f>
              <c:strCache>
                <c:ptCount val="1"/>
                <c:pt idx="0">
                  <c:v>工商业用户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Projections!$C$26:$F$26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Projections!$C$36:$F$36</c:f>
              <c:numCache>
                <c:formatCode>0.00%</c:formatCode>
                <c:ptCount val="4"/>
                <c:pt idx="0">
                  <c:v>0.35399999999999998</c:v>
                </c:pt>
                <c:pt idx="1">
                  <c:v>0.52500000000000002</c:v>
                </c:pt>
                <c:pt idx="2">
                  <c:v>0.54700000000000004</c:v>
                </c:pt>
                <c:pt idx="3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9-4062-9E56-577229140C72}"/>
            </c:ext>
          </c:extLst>
        </c:ser>
        <c:ser>
          <c:idx val="2"/>
          <c:order val="2"/>
          <c:tx>
            <c:strRef>
              <c:f>Projections!$B$37</c:f>
              <c:strCache>
                <c:ptCount val="1"/>
                <c:pt idx="0">
                  <c:v>交通用户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Projections!$C$26:$F$26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Projections!$C$37:$F$37</c:f>
              <c:numCache>
                <c:formatCode>0.00%</c:formatCode>
                <c:ptCount val="4"/>
                <c:pt idx="0">
                  <c:v>0.107</c:v>
                </c:pt>
                <c:pt idx="1">
                  <c:v>0.06</c:v>
                </c:pt>
                <c:pt idx="2">
                  <c:v>6.5000000000000002E-2</c:v>
                </c:pt>
                <c:pt idx="3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89-4062-9E56-577229140C72}"/>
            </c:ext>
          </c:extLst>
        </c:ser>
        <c:ser>
          <c:idx val="3"/>
          <c:order val="3"/>
          <c:tx>
            <c:strRef>
              <c:f>Projections!$B$38</c:f>
              <c:strCache>
                <c:ptCount val="1"/>
                <c:pt idx="0">
                  <c:v>批发业务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Projections!$C$26:$F$26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Projections!$C$38:$F$38</c:f>
              <c:numCache>
                <c:formatCode>0.00%</c:formatCode>
                <c:ptCount val="4"/>
                <c:pt idx="0">
                  <c:v>0.35799999999999998</c:v>
                </c:pt>
                <c:pt idx="1">
                  <c:v>0.18</c:v>
                </c:pt>
                <c:pt idx="2">
                  <c:v>0.19</c:v>
                </c:pt>
                <c:pt idx="3">
                  <c:v>0.14399999999999999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89-4062-9E56-577229140C7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ser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94665936"/>
        <c:axId val="694668816"/>
      </c:barChart>
      <c:catAx>
        <c:axId val="694665936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68816"/>
        <c:crosses val="autoZero"/>
        <c:auto val="0"/>
        <c:lblAlgn val="ctr"/>
        <c:lblOffset val="100"/>
        <c:noMultiLvlLbl val="0"/>
      </c:catAx>
      <c:valAx>
        <c:axId val="69466881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9466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收入情况 </a:t>
            </a:r>
            <a:r>
              <a:rPr lang="en-US" altLang="zh-CN"/>
              <a:t>(</a:t>
            </a:r>
            <a:r>
              <a:rPr lang="zh-CN" altLang="en-US"/>
              <a:t>千元</a:t>
            </a:r>
            <a:r>
              <a:rPr lang="en-US" altLang="zh-CN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Projections!$B$4</c:f>
              <c:strCache>
                <c:ptCount val="1"/>
                <c:pt idx="0">
                  <c:v>销气收入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62.0%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0FD-4660-BC00-5DDA3E97AA2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58.0%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0FD-4660-BC00-5DDA3E97AA2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66.9%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0FD-4660-BC00-5DDA3E97AA2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75.9%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0FD-4660-BC00-5DDA3E97AA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Projections!$C$3:$F$3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Projections!$C$4:$F$4</c:f>
              <c:numCache>
                <c:formatCode>#,##0</c:formatCode>
                <c:ptCount val="4"/>
                <c:pt idx="0">
                  <c:v>4060143.16</c:v>
                </c:pt>
                <c:pt idx="1">
                  <c:v>3735070.6599999997</c:v>
                </c:pt>
                <c:pt idx="2">
                  <c:v>5118080.8050000006</c:v>
                </c:pt>
                <c:pt idx="3">
                  <c:v>5725029.9809999997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FD-4660-BC00-5DDA3E97AA2F}"/>
            </c:ext>
          </c:extLst>
        </c:ser>
        <c:ser>
          <c:idx val="1"/>
          <c:order val="1"/>
          <c:tx>
            <c:strRef>
              <c:f>Projections!$B$5</c:f>
              <c:strCache>
                <c:ptCount val="1"/>
                <c:pt idx="0">
                  <c:v>工程安装及服务收入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36.0%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0FD-4660-BC00-5DDA3E97AA2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39.6%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0FD-4660-BC00-5DDA3E97AA2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29.0%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0FD-4660-BC00-5DDA3E97AA2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18.7%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0FD-4660-BC00-5DDA3E97AA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Projections!$C$3:$F$3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Projections!$C$5:$F$5</c:f>
              <c:numCache>
                <c:formatCode>#,##0</c:formatCode>
                <c:ptCount val="4"/>
                <c:pt idx="0">
                  <c:v>2357502.48</c:v>
                </c:pt>
                <c:pt idx="1">
                  <c:v>2550151.6920000003</c:v>
                </c:pt>
                <c:pt idx="2">
                  <c:v>2218600.0499999998</c:v>
                </c:pt>
                <c:pt idx="3">
                  <c:v>1410514.6329999999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0FD-4660-BC00-5DDA3E97AA2F}"/>
            </c:ext>
          </c:extLst>
        </c:ser>
        <c:ser>
          <c:idx val="2"/>
          <c:order val="2"/>
          <c:tx>
            <c:strRef>
              <c:f>Projections!$B$6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Projections!$C$3:$F$3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Projections!$C$6:$F$6</c:f>
              <c:numCache>
                <c:formatCode>#,##0</c:formatCode>
                <c:ptCount val="4"/>
                <c:pt idx="0">
                  <c:v>130972.36</c:v>
                </c:pt>
                <c:pt idx="1">
                  <c:v>154554.64800000002</c:v>
                </c:pt>
                <c:pt idx="2">
                  <c:v>313664.14499999996</c:v>
                </c:pt>
                <c:pt idx="3">
                  <c:v>407314.38600000006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0FD-4660-BC00-5DDA3E97A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100"/>
        <c:axId val="694711296"/>
        <c:axId val="694713456"/>
      </c:barChart>
      <c:lineChart>
        <c:grouping val="standard"/>
        <c:varyColors val="0"/>
        <c:ser>
          <c:idx val="3"/>
          <c:order val="3"/>
          <c:tx>
            <c:strRef>
              <c:f>Projections!$B$8</c:f>
              <c:strCache>
                <c:ptCount val="1"/>
                <c:pt idx="0">
                  <c:v>收入增長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2.501737317581654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0FD-4660-BC00-5DDA3E97AA2F}"/>
                </c:ext>
              </c:extLst>
            </c:dLbl>
            <c:dLbl>
              <c:idx val="2"/>
              <c:layout>
                <c:manualLayout>
                  <c:x val="3.3356497567755383E-2"/>
                  <c:y val="6.4367816091954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0FD-4660-BC00-5DDA3E97AA2F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Projections!$C$8:$F$8</c:f>
              <c:numCache>
                <c:formatCode>0.00%</c:formatCode>
                <c:ptCount val="4"/>
                <c:pt idx="0">
                  <c:v>0.280714394395428</c:v>
                </c:pt>
                <c:pt idx="1">
                  <c:v>-1.6620453353669462E-2</c:v>
                </c:pt>
                <c:pt idx="2">
                  <c:v>0.18798290686152641</c:v>
                </c:pt>
                <c:pt idx="3">
                  <c:v>-1.4049823896830849E-2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0FD-4660-BC00-5DDA3E97A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073776"/>
        <c:axId val="698079176"/>
      </c:lineChart>
      <c:catAx>
        <c:axId val="694711296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13456"/>
        <c:crosses val="autoZero"/>
        <c:auto val="0"/>
        <c:lblAlgn val="ctr"/>
        <c:lblOffset val="100"/>
        <c:noMultiLvlLbl val="0"/>
      </c:catAx>
      <c:valAx>
        <c:axId val="69471345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11296"/>
        <c:crosses val="autoZero"/>
        <c:crossBetween val="between"/>
      </c:valAx>
      <c:valAx>
        <c:axId val="6980791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73776"/>
        <c:crosses val="max"/>
        <c:crossBetween val="between"/>
      </c:valAx>
      <c:catAx>
        <c:axId val="698073776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698079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Visualizations!$B$40</c:f>
              <c:strCache>
                <c:ptCount val="1"/>
                <c:pt idx="0">
                  <c:v>累计接驳用户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Visualizations!$C$39:$M$39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Visualizations!$C$40:$M$40</c:f>
              <c:numCache>
                <c:formatCode>#,##0</c:formatCode>
                <c:ptCount val="11"/>
                <c:pt idx="0">
                  <c:v>459401</c:v>
                </c:pt>
                <c:pt idx="1">
                  <c:v>596421</c:v>
                </c:pt>
                <c:pt idx="2">
                  <c:v>794217</c:v>
                </c:pt>
                <c:pt idx="3">
                  <c:v>1022122</c:v>
                </c:pt>
                <c:pt idx="4">
                  <c:v>1334299</c:v>
                </c:pt>
                <c:pt idx="5">
                  <c:v>1636226</c:v>
                </c:pt>
                <c:pt idx="6">
                  <c:v>2354203</c:v>
                </c:pt>
                <c:pt idx="7">
                  <c:v>3247483</c:v>
                </c:pt>
                <c:pt idx="8">
                  <c:v>4204256</c:v>
                </c:pt>
                <c:pt idx="9">
                  <c:v>4938642</c:v>
                </c:pt>
                <c:pt idx="10">
                  <c:v>5294315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A-4B27-90A6-661D4E356271}"/>
            </c:ext>
          </c:extLst>
        </c:ser>
        <c:ser>
          <c:idx val="2"/>
          <c:order val="2"/>
          <c:tx>
            <c:strRef>
              <c:f>Visualizations!$B$42</c:f>
              <c:strCache>
                <c:ptCount val="1"/>
                <c:pt idx="0">
                  <c:v>新增用户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Visualizations!$C$42:$M$42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137020</c:v>
                </c:pt>
                <c:pt idx="2">
                  <c:v>197796</c:v>
                </c:pt>
                <c:pt idx="3">
                  <c:v>227905</c:v>
                </c:pt>
                <c:pt idx="4">
                  <c:v>312177</c:v>
                </c:pt>
                <c:pt idx="5">
                  <c:v>301927</c:v>
                </c:pt>
                <c:pt idx="6">
                  <c:v>717977</c:v>
                </c:pt>
                <c:pt idx="7">
                  <c:v>893280</c:v>
                </c:pt>
                <c:pt idx="8">
                  <c:v>956773</c:v>
                </c:pt>
                <c:pt idx="9">
                  <c:v>734386</c:v>
                </c:pt>
                <c:pt idx="10">
                  <c:v>355673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9A-4B27-90A6-661D4E356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4673856"/>
        <c:axId val="694674576"/>
      </c:barChart>
      <c:lineChart>
        <c:grouping val="standard"/>
        <c:varyColors val="0"/>
        <c:ser>
          <c:idx val="1"/>
          <c:order val="1"/>
          <c:tx>
            <c:strRef>
              <c:f>Visualizations!$B$41</c:f>
              <c:strCache>
                <c:ptCount val="1"/>
                <c:pt idx="0">
                  <c:v>增速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Visualizations!$C$39:$M$39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Visualizations!$C$41:$M$41</c:f>
              <c:numCache>
                <c:formatCode>0.00%</c:formatCode>
                <c:ptCount val="11"/>
                <c:pt idx="1">
                  <c:v>0.29825794893785607</c:v>
                </c:pt>
                <c:pt idx="2">
                  <c:v>0.33163822199419535</c:v>
                </c:pt>
                <c:pt idx="3">
                  <c:v>0.28695558015000944</c:v>
                </c:pt>
                <c:pt idx="4">
                  <c:v>0.30542048796523313</c:v>
                </c:pt>
                <c:pt idx="5">
                  <c:v>0.22628136572087665</c:v>
                </c:pt>
                <c:pt idx="6">
                  <c:v>0.43880063023078719</c:v>
                </c:pt>
                <c:pt idx="7">
                  <c:v>0.37944051553753022</c:v>
                </c:pt>
                <c:pt idx="8">
                  <c:v>0.29461986406087415</c:v>
                </c:pt>
                <c:pt idx="9">
                  <c:v>0.1746768036960642</c:v>
                </c:pt>
                <c:pt idx="10">
                  <c:v>7.2018380761351031E-2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A-4B27-90A6-661D4E356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4682856"/>
        <c:axId val="694672776"/>
      </c:lineChart>
      <c:catAx>
        <c:axId val="69467385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74576"/>
        <c:crosses val="autoZero"/>
        <c:auto val="1"/>
        <c:lblAlgn val="ctr"/>
        <c:lblOffset val="100"/>
        <c:noMultiLvlLbl val="0"/>
      </c:catAx>
      <c:valAx>
        <c:axId val="69467457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73856"/>
        <c:crosses val="autoZero"/>
        <c:crossBetween val="between"/>
      </c:valAx>
      <c:valAx>
        <c:axId val="69467277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2856"/>
        <c:crosses val="max"/>
        <c:crossBetween val="between"/>
      </c:valAx>
      <c:catAx>
        <c:axId val="694682856"/>
        <c:scaling>
          <c:orientation val="minMax"/>
        </c:scaling>
        <c:delete val="1"/>
        <c:axPos val="t"/>
        <c:numFmt formatCode="0" sourceLinked="1"/>
        <c:majorTickMark val="out"/>
        <c:minorTickMark val="none"/>
        <c:tickLblPos val="nextTo"/>
        <c:crossAx val="6946727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Visualizations!$B$45</c:f>
              <c:strCache>
                <c:ptCount val="1"/>
                <c:pt idx="0">
                  <c:v>总消气量 （万立方米）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Visualizations!$C$39:$M$39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Visualizations!$C$45:$M$45</c:f>
              <c:numCache>
                <c:formatCode>#,##0</c:formatCode>
                <c:ptCount val="11"/>
                <c:pt idx="0">
                  <c:v>15471</c:v>
                </c:pt>
                <c:pt idx="1">
                  <c:v>18106</c:v>
                </c:pt>
                <c:pt idx="2">
                  <c:v>25759</c:v>
                </c:pt>
                <c:pt idx="3">
                  <c:v>62055</c:v>
                </c:pt>
                <c:pt idx="4">
                  <c:v>91752</c:v>
                </c:pt>
                <c:pt idx="5">
                  <c:v>106359</c:v>
                </c:pt>
                <c:pt idx="6">
                  <c:v>129236</c:v>
                </c:pt>
                <c:pt idx="7">
                  <c:v>156640</c:v>
                </c:pt>
                <c:pt idx="8">
                  <c:v>151461</c:v>
                </c:pt>
                <c:pt idx="9">
                  <c:v>194238</c:v>
                </c:pt>
                <c:pt idx="10">
                  <c:v>191177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Visualizations!$B$46</c:f>
              <c:strCache>
                <c:ptCount val="1"/>
                <c:pt idx="0">
                  <c:v>增速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Visualizations!$C$46:$M$46</c:f>
              <c:numCache>
                <c:formatCode>0.00%</c:formatCode>
                <c:ptCount val="11"/>
                <c:pt idx="1">
                  <c:v>0.17031866072005686</c:v>
                </c:pt>
                <c:pt idx="2">
                  <c:v>0.42267756544791779</c:v>
                </c:pt>
                <c:pt idx="3">
                  <c:v>1.4090609107496408</c:v>
                </c:pt>
                <c:pt idx="4">
                  <c:v>0.47855934251873333</c:v>
                </c:pt>
                <c:pt idx="5">
                  <c:v>0.15920088935391052</c:v>
                </c:pt>
                <c:pt idx="6">
                  <c:v>0.21509228180031781</c:v>
                </c:pt>
                <c:pt idx="7">
                  <c:v>0.21204617908322754</c:v>
                </c:pt>
                <c:pt idx="8">
                  <c:v>-3.3063074565883532E-2</c:v>
                </c:pt>
                <c:pt idx="9">
                  <c:v>0.28242914017469833</c:v>
                </c:pt>
                <c:pt idx="10">
                  <c:v>-1.5759017288069277E-2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Projections!$B$51</c:f>
              <c:strCache>
                <c:ptCount val="1"/>
                <c:pt idx="0">
                  <c:v>平均每立方米价格 (元)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Projections!$C$26:$F$26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Projections!$C$51:$F$51</c:f>
              <c:numCache>
                <c:formatCode>#,##0.00</c:formatCode>
                <c:ptCount val="4"/>
                <c:pt idx="0">
                  <c:v>2.5920219356486212</c:v>
                </c:pt>
                <c:pt idx="1">
                  <c:v>2.4660279940050569</c:v>
                </c:pt>
                <c:pt idx="2">
                  <c:v>2.6349534102492824</c:v>
                </c:pt>
                <c:pt idx="3">
                  <c:v>2.9946227741830871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4-44BC-AD60-733BECEFB772}"/>
            </c:ext>
          </c:extLst>
        </c:ser>
        <c:ser>
          <c:idx val="1"/>
          <c:order val="1"/>
          <c:tx>
            <c:strRef>
              <c:f>Projections!$B$52</c:f>
              <c:strCache>
                <c:ptCount val="1"/>
                <c:pt idx="0">
                  <c:v>住宅用户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Projections!$C$26:$F$26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Projections!$C$52:$F$52</c:f>
              <c:numCache>
                <c:formatCode>#,##0.00</c:formatCode>
                <c:ptCount val="4"/>
                <c:pt idx="0">
                  <c:v>2.3457798517620021</c:v>
                </c:pt>
                <c:pt idx="1">
                  <c:v>2.3367603975451146</c:v>
                </c:pt>
                <c:pt idx="2">
                  <c:v>2.2683511966493817</c:v>
                </c:pt>
                <c:pt idx="3">
                  <c:v>2.2842195613294343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F4-44BC-AD60-733BECEFB772}"/>
            </c:ext>
          </c:extLst>
        </c:ser>
        <c:ser>
          <c:idx val="2"/>
          <c:order val="2"/>
          <c:tx>
            <c:strRef>
              <c:f>Projections!$B$53</c:f>
              <c:strCache>
                <c:ptCount val="1"/>
                <c:pt idx="0">
                  <c:v>工商业用户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Projections!$C$26:$F$26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Projections!$C$53:$F$53</c:f>
              <c:numCache>
                <c:formatCode>#,##0.00</c:formatCode>
                <c:ptCount val="4"/>
                <c:pt idx="0">
                  <c:v>2.7974870890841825</c:v>
                </c:pt>
                <c:pt idx="1">
                  <c:v>2.5636924690151583</c:v>
                </c:pt>
                <c:pt idx="2">
                  <c:v>2.6641765534313446</c:v>
                </c:pt>
                <c:pt idx="3">
                  <c:v>3.1238870665938672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F4-44BC-AD60-733BECEFB772}"/>
            </c:ext>
          </c:extLst>
        </c:ser>
        <c:ser>
          <c:idx val="3"/>
          <c:order val="3"/>
          <c:tx>
            <c:strRef>
              <c:f>Projections!$B$54</c:f>
              <c:strCache>
                <c:ptCount val="1"/>
                <c:pt idx="0">
                  <c:v>交通用户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Projections!$C$26:$F$26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Projections!$C$54:$F$54</c:f>
              <c:numCache>
                <c:formatCode>#,##0.00</c:formatCode>
                <c:ptCount val="4"/>
                <c:pt idx="0">
                  <c:v>2.7734634711440247</c:v>
                </c:pt>
                <c:pt idx="1">
                  <c:v>2.9012094047118318</c:v>
                </c:pt>
                <c:pt idx="2">
                  <c:v>3.6440845035362415</c:v>
                </c:pt>
                <c:pt idx="3">
                  <c:v>4.8936518504943125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F4-44BC-AD60-733BECEFB772}"/>
            </c:ext>
          </c:extLst>
        </c:ser>
        <c:ser>
          <c:idx val="4"/>
          <c:order val="4"/>
          <c:tx>
            <c:strRef>
              <c:f>Projections!$B$55</c:f>
              <c:strCache>
                <c:ptCount val="1"/>
                <c:pt idx="0">
                  <c:v>批发业务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Projections!$C$26:$F$26</c:f>
              <c:numCache>
                <c:formatCode>yyyy\-mm\-dd;@</c:formatCode>
                <c:ptCount val="4"/>
                <c:pt idx="0">
                  <c:v>43830</c:v>
                </c:pt>
                <c:pt idx="1">
                  <c:v>44196</c:v>
                </c:pt>
                <c:pt idx="2">
                  <c:v>44561</c:v>
                </c:pt>
                <c:pt idx="3">
                  <c:v>44926</c:v>
                </c:pt>
              </c:numCache>
            </c:numRef>
          </c:cat>
          <c:val>
            <c:numRef>
              <c:f>Projections!$C$55:$F$55</c:f>
              <c:numCache>
                <c:formatCode>#,##0.00</c:formatCode>
                <c:ptCount val="4"/>
                <c:pt idx="0">
                  <c:v>2.4944727230166834</c:v>
                </c:pt>
                <c:pt idx="1">
                  <c:v>2.2647195863311751</c:v>
                </c:pt>
                <c:pt idx="2">
                  <c:v>2.7507755381723271</c:v>
                </c:pt>
                <c:pt idx="3">
                  <c:v>3.3428347246694914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F4-44BC-AD60-733BECEFB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860008"/>
        <c:axId val="687866128"/>
      </c:barChart>
      <c:catAx>
        <c:axId val="687860008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66128"/>
        <c:crosses val="autoZero"/>
        <c:auto val="0"/>
        <c:lblAlgn val="ctr"/>
        <c:lblOffset val="100"/>
        <c:noMultiLvlLbl val="0"/>
      </c:catAx>
      <c:valAx>
        <c:axId val="687866128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6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Visualizations!$B$69</c:f>
              <c:strCache>
                <c:ptCount val="1"/>
                <c:pt idx="0">
                  <c:v>天伦燃气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Visualizations!$C$68:$M$68</c15:sqref>
                  </c15:fullRef>
                </c:ext>
              </c:extLst>
              <c:f>Visualizations!$J$68:$M$68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Visualizations!$C$69:$M$69</c15:sqref>
                  </c15:fullRef>
                </c:ext>
              </c:extLst>
              <c:f>Visualizations!$J$69:$M$69</c:f>
              <c:numCache>
                <c:formatCode>0.00%</c:formatCode>
                <c:ptCount val="4"/>
                <c:pt idx="0">
                  <c:v>0.26019999999999999</c:v>
                </c:pt>
                <c:pt idx="1">
                  <c:v>0.27739999999999998</c:v>
                </c:pt>
                <c:pt idx="2">
                  <c:v>0.2326</c:v>
                </c:pt>
                <c:pt idx="3">
                  <c:v>0.1847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Visualizations!$B$70</c:f>
              <c:strCache>
                <c:ptCount val="1"/>
                <c:pt idx="0">
                  <c:v>华润燃气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Visualizations!$C$68:$M$68</c15:sqref>
                  </c15:fullRef>
                </c:ext>
              </c:extLst>
              <c:f>Visualizations!$J$68:$M$68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Visualizations!$C$70:$M$70</c15:sqref>
                  </c15:fullRef>
                </c:ext>
              </c:extLst>
              <c:f>Visualizations!$J$70:$M$70</c:f>
              <c:numCache>
                <c:formatCode>0.00%</c:formatCode>
                <c:ptCount val="4"/>
                <c:pt idx="0">
                  <c:v>0.2495</c:v>
                </c:pt>
                <c:pt idx="1">
                  <c:v>0.26900000000000002</c:v>
                </c:pt>
                <c:pt idx="2">
                  <c:v>0.23400000000000001</c:v>
                </c:pt>
                <c:pt idx="3">
                  <c:v>0.19170000000000001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Visualizations!$B$71</c:f>
              <c:strCache>
                <c:ptCount val="1"/>
                <c:pt idx="0">
                  <c:v>中国燃气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Visualizations!$C$68:$M$68</c15:sqref>
                  </c15:fullRef>
                </c:ext>
              </c:extLst>
              <c:f>Visualizations!$J$68:$M$68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Visualizations!$C$71:$M$71</c15:sqref>
                  </c15:fullRef>
                </c:ext>
              </c:extLst>
              <c:f>Visualizations!$J$71:$M$71</c:f>
              <c:numCache>
                <c:formatCode>0.00%</c:formatCode>
                <c:ptCount val="4"/>
                <c:pt idx="0">
                  <c:v>0.28720000000000001</c:v>
                </c:pt>
                <c:pt idx="1">
                  <c:v>0.25869999999999999</c:v>
                </c:pt>
                <c:pt idx="2">
                  <c:v>0.1784</c:v>
                </c:pt>
                <c:pt idx="3">
                  <c:v>0.1308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Visualizations!$B$94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Visualizations!$C$93:$M$93</c15:sqref>
                  </c15:fullRef>
                </c:ext>
              </c:extLst>
              <c:f>Visualizations!$J$93:$M$93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Visualizations!$C$94:$M$94</c15:sqref>
                  </c15:fullRef>
                </c:ext>
              </c:extLst>
              <c:f>Visualizations!$J$94:$M$94</c:f>
              <c:numCache>
                <c:formatCode>0.00%</c:formatCode>
                <c:ptCount val="4"/>
                <c:pt idx="0">
                  <c:v>0.73980000000000001</c:v>
                </c:pt>
                <c:pt idx="1">
                  <c:v>0.72260000000000002</c:v>
                </c:pt>
                <c:pt idx="2">
                  <c:v>0.76739999999999997</c:v>
                </c:pt>
                <c:pt idx="3">
                  <c:v>0.81530000000000002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Visualizations!$B$95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Visualizations!$C$93:$M$93</c15:sqref>
                  </c15:fullRef>
                </c:ext>
              </c:extLst>
              <c:f>Visualizations!$J$93:$M$93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Visualizations!$C$95:$M$95</c15:sqref>
                  </c15:fullRef>
                </c:ext>
              </c:extLst>
              <c:f>Visualizations!$J$95:$M$95</c:f>
              <c:numCache>
                <c:formatCode>General</c:formatCode>
                <c:ptCount val="4"/>
                <c:pt idx="0" formatCode="0.00%">
                  <c:v>3.8784519115330873E-2</c:v>
                </c:pt>
                <c:pt idx="1" formatCode="0.00%">
                  <c:v>3.9250427460454013E-2</c:v>
                </c:pt>
                <c:pt idx="2" formatCode="0.00%">
                  <c:v>3.5929490761527738E-2</c:v>
                </c:pt>
                <c:pt idx="3" formatCode="0.00%">
                  <c:v>4.120798227833769E-2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Visualizations!$B$96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Visualizations!$C$93:$M$93</c15:sqref>
                  </c15:fullRef>
                </c:ext>
              </c:extLst>
              <c:f>Visualizations!$J$93:$M$93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Visualizations!$C$96:$M$96</c15:sqref>
                  </c15:fullRef>
                </c:ext>
              </c:extLst>
              <c:f>Visualizations!$J$96:$M$96</c:f>
              <c:numCache>
                <c:formatCode>General</c:formatCode>
                <c:ptCount val="4"/>
                <c:pt idx="0" formatCode="0.00%">
                  <c:v>4.4420975540182678E-2</c:v>
                </c:pt>
                <c:pt idx="1" formatCode="0.00%">
                  <c:v>3.8875725044516293E-2</c:v>
                </c:pt>
                <c:pt idx="2" formatCode="0.00%">
                  <c:v>3.0819786558645396E-2</c:v>
                </c:pt>
                <c:pt idx="3" formatCode="0.00%">
                  <c:v>4.308114469593028E-2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Visualizations!$B$97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Visualizations!$C$97:$M$97</c15:sqref>
                  </c15:fullRef>
                </c:ext>
              </c:extLst>
              <c:f>Visualizations!$J$97:$M$97</c:f>
              <c:numCache>
                <c:formatCode>General</c:formatCode>
                <c:ptCount val="4"/>
                <c:pt idx="0" formatCode="0.00%">
                  <c:v>0.12421933910330393</c:v>
                </c:pt>
                <c:pt idx="1" formatCode="0.00%">
                  <c:v>0.16517233438362849</c:v>
                </c:pt>
                <c:pt idx="2" formatCode="0.00%">
                  <c:v>0.13438792629613436</c:v>
                </c:pt>
                <c:pt idx="3" formatCode="0.00%">
                  <c:v>6.2214075591231391E-2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Visualizations!$B$101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Visualizations!$C$100:$M$100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Visualizations!$C$101:$M$101</c:f>
              <c:numCache>
                <c:formatCode>General</c:formatCode>
                <c:ptCount val="11"/>
                <c:pt idx="7" formatCode="#,##0">
                  <c:v>1449907</c:v>
                </c:pt>
                <c:pt idx="8" formatCode="#,##0">
                  <c:v>1533361</c:v>
                </c:pt>
                <c:pt idx="9" formatCode="#,##0">
                  <c:v>1504246</c:v>
                </c:pt>
                <c:pt idx="10" formatCode="#,##0">
                  <c:v>1082083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Visualizations!$B$102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Visualizations!$C$100:$M$100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Visualizations!$C$102:$M$102</c:f>
              <c:numCache>
                <c:formatCode>General</c:formatCode>
                <c:ptCount val="11"/>
                <c:pt idx="7" formatCode="#,##0">
                  <c:v>290896</c:v>
                </c:pt>
                <c:pt idx="8" formatCode="#,##0">
                  <c:v>250351</c:v>
                </c:pt>
                <c:pt idx="9" formatCode="#,##0">
                  <c:v>235782</c:v>
                </c:pt>
                <c:pt idx="10" formatCode="#,##0">
                  <c:v>324955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Visualizations!$B$103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Visualizations!$C$100:$M$100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Visualizations!$C$103:$M$103</c:f>
              <c:numCache>
                <c:formatCode>General</c:formatCode>
                <c:ptCount val="11"/>
                <c:pt idx="7" formatCode="0.00%">
                  <c:v>0.20063079907883746</c:v>
                </c:pt>
                <c:pt idx="8" formatCode="0.00%">
                  <c:v>0.16326944535565988</c:v>
                </c:pt>
                <c:pt idx="9" formatCode="0.00%">
                  <c:v>0.15674430910901541</c:v>
                </c:pt>
                <c:pt idx="10" formatCode="0.00%">
                  <c:v>0.30030505977822403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Visualizations!$B$126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Visualizations!$C$124:$M$124</c15:sqref>
                  </c15:fullRef>
                </c:ext>
              </c:extLst>
              <c:f>Visualizations!$J$124:$M$124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Visualizations!$C$126:$M$126</c15:sqref>
                  </c15:fullRef>
                </c:ext>
              </c:extLst>
              <c:f>Visualizations!$J$126:$M$126</c:f>
              <c:numCache>
                <c:formatCode>General</c:formatCode>
                <c:ptCount val="4"/>
                <c:pt idx="0" formatCode="#,##0">
                  <c:v>590000</c:v>
                </c:pt>
                <c:pt idx="1" formatCode="#,##0">
                  <c:v>868000</c:v>
                </c:pt>
                <c:pt idx="2" formatCode="#,##0">
                  <c:v>1341000</c:v>
                </c:pt>
                <c:pt idx="3" formatCode="#,##0">
                  <c:v>514000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Visualizations!$B$127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Visualizations!$C$124:$M$124</c15:sqref>
                  </c15:fullRef>
                </c:ext>
              </c:extLst>
              <c:f>Visualizations!$J$124:$M$124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Visualizations!$C$127:$M$127</c15:sqref>
                  </c15:fullRef>
                </c:ext>
              </c:extLst>
              <c:f>Visualizations!$J$127:$M$127</c:f>
              <c:numCache>
                <c:formatCode>General</c:formatCode>
                <c:ptCount val="4"/>
                <c:pt idx="0" formatCode="#,##0">
                  <c:v>211838</c:v>
                </c:pt>
                <c:pt idx="1" formatCode="#,##0">
                  <c:v>235003</c:v>
                </c:pt>
                <c:pt idx="2" formatCode="#,##0">
                  <c:v>289322</c:v>
                </c:pt>
                <c:pt idx="3" formatCode="#,##0">
                  <c:v>223081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Visualizations!$B$128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Visualizations!$C$124:$M$124</c15:sqref>
                  </c15:fullRef>
                </c:ext>
              </c:extLst>
              <c:f>Visualizations!$J$124:$M$124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Visualizations!$C$128:$M$128</c15:sqref>
                  </c15:fullRef>
                </c:ext>
              </c:extLst>
              <c:f>Visualizations!$J$128:$M$128</c:f>
              <c:numCache>
                <c:formatCode>General</c:formatCode>
                <c:ptCount val="4"/>
                <c:pt idx="2" formatCode="#,##0">
                  <c:v>200697</c:v>
                </c:pt>
                <c:pt idx="3" formatCode="#,##0">
                  <c:v>269421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Visualizations!$B$125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Visualizations!$C$124:$M$124</c15:sqref>
                  </c15:fullRef>
                </c:ext>
              </c:extLst>
              <c:f>Visualizations!$J$124:$M$124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Visualizations!$C$125:$M$125</c15:sqref>
                  </c15:fullRef>
                </c:ext>
              </c:extLst>
              <c:f>Visualizations!$J$125:$M$125</c:f>
              <c:numCache>
                <c:formatCode>General</c:formatCode>
                <c:ptCount val="4"/>
                <c:pt idx="0" formatCode="#,##0">
                  <c:v>813465</c:v>
                </c:pt>
                <c:pt idx="1" formatCode="#,##0">
                  <c:v>1063673</c:v>
                </c:pt>
                <c:pt idx="2" formatCode="#,##0">
                  <c:v>1028114</c:v>
                </c:pt>
                <c:pt idx="3" formatCode="#,##0">
                  <c:v>469272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Visualizations!$B$132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Visualizations!$C$124:$M$124</c15:sqref>
                  </c15:fullRef>
                </c:ext>
              </c:extLst>
              <c:f>Visualizations!$J$124:$M$124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Visualizations!$C$132:$M$132</c15:sqref>
                  </c15:fullRef>
                </c:ext>
              </c:extLst>
              <c:f>Visualizations!$J$132:$M$132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Visualizations!$B$133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Visualizations!$C$124:$M$124</c15:sqref>
                  </c15:fullRef>
                </c:ext>
              </c:extLst>
              <c:f>Visualizations!$J$124:$M$124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Visualizations!$C$133:$M$133</c15:sqref>
                  </c15:fullRef>
                </c:ext>
              </c:extLst>
              <c:f>Visualizations!$J$133:$M$133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Visualizations!$B$134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Visualizations!$C$134:$M$134</c15:sqref>
                  </c15:fullRef>
                </c:ext>
              </c:extLst>
              <c:f>Visualizations!$J$134:$M$134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530225</xdr:colOff>
      <xdr:row>20</xdr:row>
      <xdr:rowOff>25400</xdr:rowOff>
    </xdr:from>
    <xdr:to>
      <xdr:col>13</xdr:col>
      <xdr:colOff>225425</xdr:colOff>
      <xdr:row>37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4B02C3-0DDD-46B3-9714-0AB795981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552450</xdr:colOff>
      <xdr:row>2</xdr:row>
      <xdr:rowOff>9525</xdr:rowOff>
    </xdr:from>
    <xdr:to>
      <xdr:col>13</xdr:col>
      <xdr:colOff>244475</xdr:colOff>
      <xdr:row>19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05B34C-41CF-4588-B5C4-7774F3603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258762</xdr:colOff>
      <xdr:row>47</xdr:row>
      <xdr:rowOff>123825</xdr:rowOff>
    </xdr:from>
    <xdr:to>
      <xdr:col>5</xdr:col>
      <xdr:colOff>39687</xdr:colOff>
      <xdr:row>64</xdr:row>
      <xdr:rowOff>111125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8EC666-ED2D-8122-B6D2-6314A63EF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654050</xdr:colOff>
      <xdr:row>47</xdr:row>
      <xdr:rowOff>142875</xdr:rowOff>
    </xdr:from>
    <xdr:to>
      <xdr:col>10</xdr:col>
      <xdr:colOff>704850</xdr:colOff>
      <xdr:row>64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495300</xdr:colOff>
      <xdr:row>20</xdr:row>
      <xdr:rowOff>114300</xdr:rowOff>
    </xdr:from>
    <xdr:to>
      <xdr:col>18</xdr:col>
      <xdr:colOff>638175</xdr:colOff>
      <xdr:row>37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F98F27-C048-48D4-ACBA-D6DACC971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349250</xdr:colOff>
      <xdr:row>72</xdr:row>
      <xdr:rowOff>139700</xdr:rowOff>
    </xdr:from>
    <xdr:to>
      <xdr:col>5</xdr:col>
      <xdr:colOff>139700</xdr:colOff>
      <xdr:row>89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792162</xdr:colOff>
      <xdr:row>72</xdr:row>
      <xdr:rowOff>133350</xdr:rowOff>
    </xdr:from>
    <xdr:to>
      <xdr:col>12</xdr:col>
      <xdr:colOff>7937</xdr:colOff>
      <xdr:row>89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145761</xdr:colOff>
      <xdr:row>104</xdr:row>
      <xdr:rowOff>31895</xdr:rowOff>
    </xdr:from>
    <xdr:to>
      <xdr:col>5</xdr:col>
      <xdr:colOff>294409</xdr:colOff>
      <xdr:row>121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216477</xdr:colOff>
      <xdr:row>103</xdr:row>
      <xdr:rowOff>72159</xdr:rowOff>
    </xdr:from>
    <xdr:to>
      <xdr:col>12</xdr:col>
      <xdr:colOff>386772</xdr:colOff>
      <xdr:row>120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1443</xdr:colOff>
      <xdr:row>135</xdr:row>
      <xdr:rowOff>125701</xdr:rowOff>
    </xdr:from>
    <xdr:to>
      <xdr:col>5</xdr:col>
      <xdr:colOff>150091</xdr:colOff>
      <xdr:row>153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E29" sqref="E29:F29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1600.HK : 天伦燃气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5" t="s">
        <v>359</v>
      </c>
      <c r="D3" s="356"/>
      <c r="E3" s="6"/>
      <c r="G3" s="7" t="s">
        <v>2</v>
      </c>
      <c r="I3" s="364" t="s">
        <v>3</v>
      </c>
      <c r="J3" s="364"/>
    </row>
    <row r="4" spans="1:12" ht="15.75" customHeight="1">
      <c r="B4" s="5" t="s">
        <v>4</v>
      </c>
      <c r="C4" s="357" t="s">
        <v>360</v>
      </c>
      <c r="D4" s="326"/>
      <c r="E4" s="6"/>
      <c r="G4" s="5" t="s">
        <v>5</v>
      </c>
      <c r="I4" s="226">
        <v>4.26</v>
      </c>
      <c r="J4" s="227" t="s">
        <v>6</v>
      </c>
      <c r="K4" s="92"/>
    </row>
    <row r="5" spans="1:12" ht="15.75" customHeight="1">
      <c r="B5" s="5" t="s">
        <v>7</v>
      </c>
      <c r="C5" s="358">
        <v>45160</v>
      </c>
      <c r="D5" s="326"/>
      <c r="E5" s="79" t="str">
        <f ca="1">IF(C5+30&gt;=TODAY(),"Patience Premium","")</f>
        <v>Patience Premium</v>
      </c>
      <c r="G5" s="5" t="s">
        <v>8</v>
      </c>
      <c r="I5" s="325">
        <v>981885108</v>
      </c>
      <c r="J5" s="325"/>
      <c r="K5" s="91"/>
      <c r="L5" s="52"/>
    </row>
    <row r="6" spans="1:12" ht="15.75" customHeight="1">
      <c r="B6" s="12" t="s">
        <v>217</v>
      </c>
      <c r="C6" s="224">
        <v>8</v>
      </c>
      <c r="D6" s="225">
        <f>EOMONTH(EDATE(Asset_Model!D9,C6),0)</f>
        <v>45169</v>
      </c>
      <c r="E6" s="128">
        <f>IF(Asset_Model!E9="FY",Asset_Model!D9,Data!C3)</f>
        <v>44926</v>
      </c>
      <c r="G6" s="85" t="s">
        <v>9</v>
      </c>
      <c r="H6" s="84"/>
      <c r="I6" s="365">
        <f>I4*I5/1000000</f>
        <v>4182.8305600799995</v>
      </c>
      <c r="J6" s="365"/>
      <c r="K6" s="91"/>
    </row>
    <row r="7" spans="1:12" ht="15.75" customHeight="1">
      <c r="B7" s="86" t="s">
        <v>10</v>
      </c>
      <c r="C7" s="223">
        <f>(Data!C42*Exchange_Rate)/I4</f>
        <v>5.8132474291607318E-2</v>
      </c>
      <c r="D7" s="223">
        <f>(Data!C43*Exchange_Rate)/I4</f>
        <v>7.0208172619448242E-2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30">
        <f>IF(Data!F3&lt;=0,"NNI",I4/((Data!F3*I12)/(I5/Data!C4)))</f>
        <v>8.177473255236178</v>
      </c>
      <c r="J9" s="166">
        <f>IF(I9="NNI","NNI",1/I9)</f>
        <v>0.12228716240186817</v>
      </c>
    </row>
    <row r="10" spans="1:12" ht="15.75" customHeight="1">
      <c r="B10" s="3" t="s">
        <v>231</v>
      </c>
      <c r="C10" s="122" t="s">
        <v>331</v>
      </c>
      <c r="D10" s="122">
        <v>2.8999999999999998E-2</v>
      </c>
      <c r="E10" s="5"/>
      <c r="G10" s="85" t="s">
        <v>339</v>
      </c>
      <c r="H10" s="84"/>
      <c r="I10" s="165">
        <f>I4/(Data!C29*I12*Data!C4/Common_Shares)</f>
        <v>0.65905490598491623</v>
      </c>
      <c r="J10" s="228">
        <f>I4/(Data!C7*Data!C4/Common_Shares*Exchange_Rate)</f>
        <v>0.50875393924653667</v>
      </c>
    </row>
    <row r="11" spans="1:12" ht="15.75" customHeight="1" thickBot="1">
      <c r="B11" s="124" t="s">
        <v>232</v>
      </c>
      <c r="C11" s="335">
        <f ca="1">C12-D10</f>
        <v>6.7000000000000004E-2</v>
      </c>
      <c r="D11" s="336"/>
      <c r="E11" s="13"/>
      <c r="G11" s="5" t="s">
        <v>14</v>
      </c>
      <c r="H11" s="6"/>
      <c r="I11" s="364" t="s">
        <v>364</v>
      </c>
      <c r="J11" s="364"/>
    </row>
    <row r="12" spans="1:12" ht="15.75" customHeight="1" thickTop="1">
      <c r="B12" s="125" t="s">
        <v>129</v>
      </c>
      <c r="C12" s="371">
        <f ca="1">IF(C10="CN",8%,6%)*IF($C$5+30&gt;=TODAY(),1.2,1)</f>
        <v>9.6000000000000002E-2</v>
      </c>
      <c r="D12" s="372"/>
      <c r="G12" s="85" t="s">
        <v>15</v>
      </c>
      <c r="H12" s="84"/>
      <c r="I12" s="231">
        <v>1.0900000000000001</v>
      </c>
      <c r="J12" s="232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284</v>
      </c>
      <c r="D14" s="84"/>
      <c r="E14" s="167">
        <f ca="1">'Val Models'!C44</f>
        <v>4.1895640235024179E-2</v>
      </c>
      <c r="F14" s="98"/>
      <c r="G14" s="99"/>
      <c r="H14" s="134" t="s">
        <v>330</v>
      </c>
      <c r="I14" s="245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6" t="s">
        <v>329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317</v>
      </c>
      <c r="J15" s="55" t="s">
        <v>18</v>
      </c>
    </row>
    <row r="16" spans="1:12" ht="15.75" customHeight="1">
      <c r="B16" s="82">
        <f>I4</f>
        <v>4.26</v>
      </c>
      <c r="C16" s="351">
        <v>0.2</v>
      </c>
      <c r="D16" s="243">
        <f ca="1">I37/B16-(1+C16)</f>
        <v>-1.0360659930686895</v>
      </c>
      <c r="E16" s="345" t="s">
        <v>21</v>
      </c>
      <c r="F16" s="366">
        <f>('Val Models'!G16)*Exchange_Rate</f>
        <v>-6.6278625870247962</v>
      </c>
      <c r="G16" s="345" t="s">
        <v>22</v>
      </c>
      <c r="H16" s="244">
        <f>B16-$F$16</f>
        <v>10.887862587024795</v>
      </c>
      <c r="I16" s="340">
        <v>2.3E-2</v>
      </c>
      <c r="J16" s="166">
        <f>I16/B16</f>
        <v>5.3990610328638498E-3</v>
      </c>
    </row>
    <row r="17" spans="1:10" ht="15.75" customHeight="1">
      <c r="B17" s="116">
        <f ca="1">MIN((I37+I38)/2,I37/(1+C16), IF(J20=0,E14,I37/(1+C16)))</f>
        <v>0.36593769085770106</v>
      </c>
      <c r="C17" s="352"/>
      <c r="D17" s="149">
        <f ca="1">I37/B17-(1+C16)</f>
        <v>0.70840923735004768</v>
      </c>
      <c r="E17" s="346"/>
      <c r="F17" s="367"/>
      <c r="G17" s="346"/>
      <c r="H17" s="241">
        <f ca="1">B17-$F$16</f>
        <v>6.9938002778824977</v>
      </c>
      <c r="I17" s="341"/>
      <c r="J17" s="149">
        <f ca="1">I16/B17</f>
        <v>6.2852230241961612E-2</v>
      </c>
    </row>
    <row r="18" spans="1:10" ht="15.75" customHeight="1">
      <c r="B18" s="129">
        <f>C37</f>
        <v>2</v>
      </c>
      <c r="C18" s="353"/>
      <c r="D18" s="242">
        <f ca="1">I37/B18-(1+C16)</f>
        <v>-0.85082056523630856</v>
      </c>
      <c r="E18" s="347"/>
      <c r="F18" s="368"/>
      <c r="G18" s="347"/>
      <c r="H18" s="98">
        <f>B18-$F$16</f>
        <v>8.6278625870247971</v>
      </c>
      <c r="I18" s="342"/>
      <c r="J18" s="158">
        <f>I16/B18</f>
        <v>1.15E-2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215</v>
      </c>
      <c r="D20" s="190" t="s">
        <v>346</v>
      </c>
      <c r="E20" s="109" t="s">
        <v>224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61"/>
      <c r="D21" s="362"/>
      <c r="E21" s="363"/>
      <c r="F21" s="363"/>
      <c r="G21" s="363"/>
      <c r="H21" s="363"/>
      <c r="I21" s="363"/>
      <c r="J21" s="363"/>
    </row>
    <row r="22" spans="1:10" ht="52.5" customHeight="1">
      <c r="A22" s="6"/>
      <c r="B22" s="19" t="s">
        <v>25</v>
      </c>
      <c r="C22" s="370"/>
      <c r="D22" s="356"/>
      <c r="E22" s="356"/>
      <c r="F22" s="356"/>
      <c r="G22" s="370"/>
      <c r="H22" s="370"/>
      <c r="I22" s="356"/>
      <c r="J22" s="356"/>
    </row>
    <row r="23" spans="1:10" ht="52.5" customHeight="1">
      <c r="A23" s="6"/>
      <c r="B23" s="138" t="s">
        <v>26</v>
      </c>
      <c r="C23" s="343"/>
      <c r="D23" s="344"/>
      <c r="E23" s="344"/>
      <c r="F23" s="344"/>
      <c r="G23" s="343"/>
      <c r="H23" s="343"/>
      <c r="I23" s="344"/>
      <c r="J23" s="344"/>
    </row>
    <row r="24" spans="1:10" ht="52.5" customHeight="1">
      <c r="A24" s="6"/>
      <c r="B24" s="19" t="s">
        <v>297</v>
      </c>
      <c r="C24" s="373"/>
      <c r="D24" s="373"/>
      <c r="E24" s="373"/>
      <c r="F24" s="373"/>
      <c r="G24" s="373"/>
      <c r="H24" s="373"/>
      <c r="I24" s="373"/>
      <c r="J24" s="373"/>
    </row>
    <row r="25" spans="1:10" ht="52.5" customHeight="1">
      <c r="A25" s="6"/>
      <c r="B25" s="138" t="s">
        <v>296</v>
      </c>
      <c r="C25" s="374"/>
      <c r="D25" s="374"/>
      <c r="E25" s="374"/>
      <c r="F25" s="374"/>
      <c r="G25" s="374"/>
      <c r="H25" s="374"/>
      <c r="I25" s="374"/>
      <c r="J25" s="374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33">
        <v>660000</v>
      </c>
      <c r="E27" s="6"/>
      <c r="F27" s="5"/>
      <c r="G27" s="6"/>
      <c r="H27" s="234" t="s">
        <v>291</v>
      </c>
      <c r="I27" s="22"/>
      <c r="J27" s="54">
        <f>C16</f>
        <v>0.2</v>
      </c>
    </row>
    <row r="28" spans="1:10" ht="15.75" customHeight="1">
      <c r="B28" s="18" t="s">
        <v>29</v>
      </c>
      <c r="C28" s="359"/>
      <c r="D28" s="360"/>
      <c r="E28" s="350" t="str">
        <f>IF(C28="","","Action_Planning")</f>
        <v/>
      </c>
      <c r="F28" s="350"/>
      <c r="G28" s="350"/>
      <c r="H28" s="350"/>
      <c r="I28" s="369" t="s">
        <v>30</v>
      </c>
      <c r="J28" s="369"/>
    </row>
    <row r="29" spans="1:10" ht="15.75" customHeight="1">
      <c r="B29" s="18" t="s">
        <v>31</v>
      </c>
      <c r="C29" s="339">
        <f>C33/D27</f>
        <v>2.4242424242424242E-2</v>
      </c>
      <c r="D29" s="333"/>
      <c r="E29" s="338">
        <f>E33/D27</f>
        <v>9.696969696969697E-2</v>
      </c>
      <c r="F29" s="333"/>
      <c r="G29" s="349">
        <f>G33/D27</f>
        <v>0</v>
      </c>
      <c r="H29" s="349"/>
      <c r="I29" s="348">
        <f>C29+E29+G29</f>
        <v>0.12121212121212122</v>
      </c>
      <c r="J29" s="348"/>
    </row>
    <row r="30" spans="1:10" ht="15.75" customHeight="1">
      <c r="B30" s="18" t="s">
        <v>32</v>
      </c>
      <c r="C30" s="325">
        <v>8000</v>
      </c>
      <c r="D30" s="326"/>
      <c r="E30" s="325">
        <v>8000</v>
      </c>
      <c r="F30" s="326"/>
      <c r="G30" s="325"/>
      <c r="H30" s="325"/>
      <c r="I30" s="354">
        <f>C30+E30+G30</f>
        <v>16000</v>
      </c>
      <c r="J30" s="354"/>
    </row>
    <row r="31" spans="1:10" ht="15.75" customHeight="1">
      <c r="B31" s="18" t="s">
        <v>33</v>
      </c>
      <c r="C31" s="327">
        <v>2</v>
      </c>
      <c r="D31" s="326"/>
      <c r="E31" s="327">
        <v>8</v>
      </c>
      <c r="F31" s="326"/>
      <c r="G31" s="327"/>
      <c r="H31" s="327"/>
      <c r="I31" s="337"/>
      <c r="J31" s="337"/>
    </row>
    <row r="32" spans="1:10" ht="15.75" customHeight="1">
      <c r="B32" s="18" t="s">
        <v>34</v>
      </c>
      <c r="C32" s="334">
        <f>C31*$I$5/1000000</f>
        <v>1963.7702159999999</v>
      </c>
      <c r="D32" s="333"/>
      <c r="E32" s="334">
        <f>E31*$I$5/1000000</f>
        <v>7855.0808639999996</v>
      </c>
      <c r="F32" s="333"/>
      <c r="G32" s="334">
        <f>G31*$I$5/1000000</f>
        <v>0</v>
      </c>
      <c r="H32" s="334"/>
      <c r="I32" s="337"/>
      <c r="J32" s="337"/>
    </row>
    <row r="33" spans="2:11" ht="15.75" customHeight="1">
      <c r="B33" s="2" t="s">
        <v>35</v>
      </c>
      <c r="C33" s="330">
        <f>C30*C31</f>
        <v>16000</v>
      </c>
      <c r="D33" s="331"/>
      <c r="E33" s="330">
        <f>E30*E31</f>
        <v>64000</v>
      </c>
      <c r="F33" s="331"/>
      <c r="G33" s="330">
        <f>G30*G31</f>
        <v>0</v>
      </c>
      <c r="H33" s="330"/>
      <c r="I33" s="330">
        <f>C33+E33+G33</f>
        <v>80000</v>
      </c>
      <c r="J33" s="330"/>
    </row>
    <row r="34" spans="2:11" ht="15.75" customHeight="1">
      <c r="B34" s="1" t="s">
        <v>36</v>
      </c>
      <c r="C34" s="337"/>
      <c r="D34" s="380"/>
      <c r="E34" s="332">
        <f>IF(C33=0,"-",(C33+E33)/(C30+E30))</f>
        <v>5</v>
      </c>
      <c r="F34" s="333"/>
      <c r="G34" s="78"/>
      <c r="H34" s="78"/>
      <c r="I34" s="332">
        <f>IF(I33=0,"",I33/I30)</f>
        <v>5</v>
      </c>
      <c r="J34" s="332"/>
    </row>
    <row r="35" spans="2:11" ht="15.75" customHeight="1">
      <c r="B35" s="1" t="s">
        <v>37</v>
      </c>
      <c r="C35" s="381"/>
      <c r="D35" s="382"/>
      <c r="E35" s="328">
        <f>IF(E34="-","-",E34*$I$5/1000000)</f>
        <v>4909.4255400000002</v>
      </c>
      <c r="F35" s="329"/>
      <c r="G35" s="235"/>
      <c r="H35" s="235"/>
      <c r="I35" s="328">
        <f>IF(I34="","",I34*$I$5/1000000)</f>
        <v>4909.4255400000002</v>
      </c>
      <c r="J35" s="328"/>
    </row>
    <row r="36" spans="2:11" ht="15.75" customHeight="1"/>
    <row r="37" spans="2:11" ht="15.75" customHeight="1">
      <c r="B37" s="87" t="s">
        <v>261</v>
      </c>
      <c r="C37" s="378">
        <f>C31</f>
        <v>2</v>
      </c>
      <c r="D37" s="379"/>
      <c r="E37" s="79" t="str">
        <f ca="1">IF(C37&gt;B17,"Caution! &gt; Breakeven price!","")</f>
        <v>Caution! &gt; Breakeven price!</v>
      </c>
      <c r="F37" s="6"/>
      <c r="G37" s="375" t="s">
        <v>323</v>
      </c>
      <c r="H37" s="375"/>
      <c r="I37" s="376">
        <f ca="1">'Val Models'!C46</f>
        <v>0.6983588695273828</v>
      </c>
      <c r="J37" s="377"/>
    </row>
    <row r="38" spans="2:11" ht="15.75" customHeight="1">
      <c r="B38" s="87" t="s">
        <v>286</v>
      </c>
      <c r="C38" s="378">
        <f>E34</f>
        <v>5</v>
      </c>
      <c r="D38" s="379"/>
      <c r="E38" s="6"/>
      <c r="F38" s="6"/>
      <c r="G38" s="375" t="s">
        <v>285</v>
      </c>
      <c r="H38" s="375"/>
      <c r="I38" s="376">
        <f ca="1">'Val Models'!C47</f>
        <v>3.3516512188019341E-2</v>
      </c>
      <c r="J38" s="377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271</v>
      </c>
      <c r="C40" s="6"/>
      <c r="D40" s="6"/>
      <c r="E40" s="6"/>
      <c r="F40" s="6"/>
      <c r="G40" s="127" t="s">
        <v>122</v>
      </c>
      <c r="H40" s="84"/>
      <c r="I40" s="84"/>
      <c r="J40" s="84"/>
      <c r="K40" s="130"/>
    </row>
    <row r="41" spans="2:11" ht="15.75" customHeight="1">
      <c r="B41" s="3" t="s">
        <v>273</v>
      </c>
      <c r="C41" s="6"/>
      <c r="D41" s="6"/>
      <c r="E41" s="6"/>
      <c r="F41" s="54">
        <f>'Qualitative Analysis'!E8</f>
        <v>0.53</v>
      </c>
      <c r="G41" s="77"/>
      <c r="H41" s="77"/>
      <c r="I41" s="77"/>
      <c r="J41" s="77"/>
    </row>
    <row r="42" spans="2:11" ht="15.75" customHeight="1">
      <c r="B42" s="3" t="s">
        <v>272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278</v>
      </c>
      <c r="C43" s="6"/>
      <c r="D43" s="6"/>
      <c r="E43" s="6"/>
      <c r="F43" s="171">
        <f>'Qualitative Analysis'!E64</f>
        <v>0.44607142857142856</v>
      </c>
      <c r="G43" s="77"/>
      <c r="H43" s="77"/>
      <c r="I43" s="77"/>
      <c r="J43" s="77"/>
    </row>
    <row r="44" spans="2:11" ht="15.75" customHeight="1">
      <c r="B44" s="3" t="s">
        <v>344</v>
      </c>
      <c r="C44" s="6"/>
      <c r="D44" s="6"/>
      <c r="E44" s="6"/>
      <c r="F44" s="171">
        <f>AVERAGE(Asset_Model!J26/4,1-Asset_Model!I53)</f>
        <v>9.535303093985148E-2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287</v>
      </c>
      <c r="F46" s="38" t="s">
        <v>288</v>
      </c>
      <c r="G46" s="6"/>
      <c r="H46" s="6"/>
      <c r="I46" s="6"/>
      <c r="J46" s="6"/>
    </row>
    <row r="47" spans="2:11" ht="15.75" customHeight="1">
      <c r="B47" s="3" t="s">
        <v>274</v>
      </c>
      <c r="C47" s="6"/>
      <c r="D47" s="6"/>
      <c r="E47" s="171">
        <f ca="1">I37/C31-1</f>
        <v>-0.6508205652363086</v>
      </c>
      <c r="F47" s="171">
        <f ca="1">I37/C38-1</f>
        <v>-0.86032822609452342</v>
      </c>
      <c r="G47" s="6"/>
      <c r="H47" s="6"/>
      <c r="I47" s="6"/>
      <c r="J47" s="238"/>
    </row>
    <row r="48" spans="2:11" ht="15.75" customHeight="1">
      <c r="B48" s="3" t="s">
        <v>275</v>
      </c>
      <c r="C48" s="6"/>
      <c r="D48" s="6"/>
      <c r="E48" s="171">
        <f ca="1">'Val Models'!C47/C31-1</f>
        <v>-0.98324174390599028</v>
      </c>
      <c r="F48" s="171">
        <f ca="1">'Val Models'!C47/C38-1</f>
        <v>-0.99329669756239614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277</v>
      </c>
      <c r="C50" s="6"/>
      <c r="D50" s="6"/>
      <c r="E50" s="54">
        <f ca="1">IF(E47&lt;=0,0,AVERAGE(F41:F44,0.5*(1+E47+E48-C16)))</f>
        <v>0</v>
      </c>
      <c r="F50" s="171">
        <f ca="1">IF(F47&lt;=0,0,AVERAGE(F41:F44,0.5*(1+F47+F48-C16)))</f>
        <v>0</v>
      </c>
      <c r="G50" s="77"/>
      <c r="H50" s="6"/>
      <c r="I50" s="6"/>
      <c r="J50" s="6"/>
    </row>
    <row r="51" spans="2:10" ht="15.75" customHeight="1">
      <c r="B51" s="3" t="s">
        <v>276</v>
      </c>
      <c r="C51" s="6"/>
      <c r="D51" s="66"/>
      <c r="E51" s="239">
        <f ca="1">IF(E48&gt;=0,100,E47/ABS(E48))</f>
        <v>-0.66191307404309607</v>
      </c>
      <c r="F51" s="239">
        <f ca="1">IF(F48&gt;=0,100,F47/ABS(F48))</f>
        <v>-0.86613418549142007</v>
      </c>
      <c r="G51" s="77"/>
      <c r="H51" s="6"/>
      <c r="I51" s="6"/>
      <c r="J51" s="6"/>
    </row>
    <row r="52" spans="2:10" ht="15.75" customHeight="1">
      <c r="B52" s="3" t="s">
        <v>289</v>
      </c>
      <c r="C52" s="6"/>
      <c r="D52" s="6"/>
      <c r="E52" s="237">
        <f ca="1">MAX(C16*2.5/E47,1)+IF(E47&lt;C16,100,0)+IF(J20=1,2/(1+E47+E48-C16),0)</f>
        <v>98.602097615396758</v>
      </c>
      <c r="F52" s="237">
        <f ca="1">MAX(C16*2.5/F47,1)+IF(F47&lt;C16,100,0)+IF(D18&lt;0,100,0)+IF(J20=1,2/(1+F47+F48-C16),0)</f>
        <v>199.10179129679432</v>
      </c>
      <c r="G52" s="170"/>
      <c r="H52" s="240"/>
      <c r="I52" s="240"/>
      <c r="J52" s="6"/>
    </row>
    <row r="53" spans="2:10" ht="15.75" customHeight="1">
      <c r="B53" s="3" t="s">
        <v>290</v>
      </c>
      <c r="C53" s="6"/>
      <c r="D53" s="6"/>
      <c r="E53" s="222">
        <f ca="1">MIN(MAX(E50-ABS((1-E50)/E51),0)/E52,H53)</f>
        <v>0</v>
      </c>
      <c r="F53" s="222">
        <f ca="1">MIN(MAX(F50-ABS((1-F50)/F51),0)/F52,H53)</f>
        <v>0</v>
      </c>
      <c r="G53" s="170" t="s">
        <v>279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281</v>
      </c>
    </row>
    <row r="56" spans="2:10" ht="15.75" customHeight="1">
      <c r="B56" s="137" t="s">
        <v>282</v>
      </c>
    </row>
    <row r="57" spans="2:10" ht="15.75" customHeight="1">
      <c r="B57" s="3" t="s">
        <v>293</v>
      </c>
    </row>
    <row r="58" spans="2:10" ht="15.75" customHeight="1">
      <c r="B58" s="3" t="s">
        <v>292</v>
      </c>
    </row>
    <row r="59" spans="2:10" ht="15.75" customHeight="1"/>
    <row r="60" spans="2:10" ht="15.75" customHeight="1">
      <c r="B60" s="137" t="s">
        <v>283</v>
      </c>
    </row>
    <row r="61" spans="2:10" ht="15.75" customHeight="1">
      <c r="B61" s="3" t="s">
        <v>294</v>
      </c>
    </row>
    <row r="62" spans="2:10" ht="15.75" customHeight="1">
      <c r="B62" s="3" t="s">
        <v>295</v>
      </c>
    </row>
    <row r="63" spans="2:10" ht="15.75" customHeight="1"/>
    <row r="64" spans="2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0" priority="12" operator="lessThan">
      <formula>$B$18</formula>
    </cfRule>
  </conditionalFormatting>
  <conditionalFormatting sqref="B18">
    <cfRule type="cellIs" dxfId="19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8" priority="25" operator="lessThan">
      <formula>0</formula>
    </cfRule>
  </conditionalFormatting>
  <conditionalFormatting sqref="E14">
    <cfRule type="cellIs" dxfId="17" priority="17" operator="greaterThan">
      <formula>$B$16</formula>
    </cfRule>
  </conditionalFormatting>
  <conditionalFormatting sqref="E51:F51">
    <cfRule type="cellIs" dxfId="16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5" priority="13">
      <formula>LEN(TRIM(E28))=0</formula>
    </cfRule>
  </conditionalFormatting>
  <conditionalFormatting sqref="F16">
    <cfRule type="cellIs" dxfId="14" priority="20" operator="greaterThan">
      <formula>$B$16</formula>
    </cfRule>
  </conditionalFormatting>
  <conditionalFormatting sqref="G16">
    <cfRule type="cellIs" dxfId="13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abSelected="1" topLeftCell="A10" zoomScaleNormal="100" workbookViewId="0">
      <selection activeCell="B23" sqref="B23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469272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811562.25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7542859</v>
      </c>
      <c r="D7" s="160">
        <v>7650345</v>
      </c>
      <c r="E7" s="160">
        <v>6439777</v>
      </c>
      <c r="F7" s="160">
        <v>6548618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-1.4049823896830849E-2</v>
      </c>
      <c r="D8" s="149">
        <f t="shared" si="1"/>
        <v>0.18798290686152641</v>
      </c>
      <c r="E8" s="149">
        <f t="shared" si="1"/>
        <v>-1.6620453353669462E-2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6149950</v>
      </c>
      <c r="D9" s="148">
        <v>5871226</v>
      </c>
      <c r="E9" s="148">
        <v>4653652</v>
      </c>
      <c r="F9" s="148">
        <v>4844726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0.18466592044210292</v>
      </c>
      <c r="D10" s="149">
        <f t="shared" si="2"/>
        <v>0.23255408743004399</v>
      </c>
      <c r="E10" s="149">
        <f t="shared" si="2"/>
        <v>0.27735820665839828</v>
      </c>
      <c r="F10" s="149">
        <f t="shared" si="2"/>
        <v>0.26019108153811993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77187+233639</f>
        <v>310826</v>
      </c>
      <c r="D11" s="148">
        <f>75304+199569</f>
        <v>274873</v>
      </c>
      <c r="E11" s="148">
        <f>59483+193281</f>
        <v>252764</v>
      </c>
      <c r="F11" s="148">
        <f>57965+196020</f>
        <v>253985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4.120798227833769E-2</v>
      </c>
      <c r="D12" s="149">
        <f t="shared" si="3"/>
        <v>3.5929490761527738E-2</v>
      </c>
      <c r="E12" s="149">
        <f t="shared" si="3"/>
        <v>3.9250427460454013E-2</v>
      </c>
      <c r="F12" s="149">
        <f t="shared" si="3"/>
        <v>3.8784519115330873E-2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0.14345793816376523</v>
      </c>
      <c r="D13" s="149">
        <f t="shared" si="4"/>
        <v>0.19662459666851625</v>
      </c>
      <c r="E13" s="149">
        <f t="shared" si="4"/>
        <v>0.23810777919794426</v>
      </c>
      <c r="F13" s="149">
        <f t="shared" si="4"/>
        <v>0.22140656242278905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1082083</v>
      </c>
      <c r="D14" s="51">
        <f t="shared" si="5"/>
        <v>1504246</v>
      </c>
      <c r="E14" s="51">
        <f t="shared" si="5"/>
        <v>1533361</v>
      </c>
      <c r="F14" s="51">
        <f t="shared" si="5"/>
        <v>1449907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-0.28064758024950709</v>
      </c>
      <c r="D15" s="149">
        <f t="shared" ref="D15:M15" si="6">IF(E14="","",IF(ABS(D14+E14)=ABS(D14)+ABS(E14),IF(D14&lt;0,-1,1)*(D14-E14)/E14,"Turn"))</f>
        <v>-1.8987700874092923E-2</v>
      </c>
      <c r="E15" s="149">
        <f t="shared" si="6"/>
        <v>5.7558174420842163E-2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IF(C14="","",C14*(1-Projections!$F$17))</f>
        <v>811562.25</v>
      </c>
      <c r="D16" s="51">
        <f>IF(D14="","",D14*(1-Projections!$F$17))</f>
        <v>1128184.5</v>
      </c>
      <c r="E16" s="51">
        <f>IF(E14="","",E14*(1-Projections!$F$17))</f>
        <v>1150020.75</v>
      </c>
      <c r="F16" s="51">
        <f>IF(F14="","",F14*(1-Projections!$F$17))</f>
        <v>1087430.25</v>
      </c>
      <c r="G16" s="51" t="str">
        <f>IF(G14="","",G14*(1-Projections!$F$17))</f>
        <v/>
      </c>
      <c r="H16" s="51" t="str">
        <f>IF(H14="","",H14*(1-Projections!$F$17))</f>
        <v/>
      </c>
      <c r="I16" s="51" t="str">
        <f>IF(I14="","",I14*(1-Projections!$F$17))</f>
        <v/>
      </c>
      <c r="J16" s="51" t="str">
        <f>IF(J14="","",J14*(1-Projections!$F$17))</f>
        <v/>
      </c>
      <c r="K16" s="51" t="str">
        <f>IF(K14="","",K14*(1-Projections!$F$17))</f>
        <v/>
      </c>
      <c r="L16" s="51" t="str">
        <f>IF(L14="","",L14*(1-Projections!$F$17))</f>
        <v/>
      </c>
      <c r="M16" s="51" t="str">
        <f>IF(M14="","",M14*(1-Projections!$F$17))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0.10759345362282392</v>
      </c>
      <c r="D17" s="149">
        <f t="shared" si="7"/>
        <v>0.14746844750138718</v>
      </c>
      <c r="E17" s="149">
        <f t="shared" si="7"/>
        <v>0.1785808343984582</v>
      </c>
      <c r="F17" s="149">
        <f t="shared" si="7"/>
        <v>0.16605492181709178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218</v>
      </c>
      <c r="C18" s="148">
        <v>324955</v>
      </c>
      <c r="D18" s="148">
        <v>235782</v>
      </c>
      <c r="E18" s="148">
        <v>250351</v>
      </c>
      <c r="F18" s="148">
        <v>290896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469272</v>
      </c>
      <c r="D19" s="148">
        <v>1028114</v>
      </c>
      <c r="E19" s="148">
        <v>1063673</v>
      </c>
      <c r="F19" s="148">
        <v>813465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230</v>
      </c>
      <c r="C20" s="149">
        <f>IF(D19="","",IF(ABS(C19+D19)=ABS(C19)+ABS(D19),IF(C19&lt;0,-1,1)*(C19-D19)/D19,"Turn"))</f>
        <v>-0.54356034447541812</v>
      </c>
      <c r="D20" s="149">
        <f t="shared" ref="D20:M20" si="8">IF(E19="","",IF(ABS(D19+E19)=ABS(D19)+ABS(E19),IF(D19&lt;0,-1,1)*(D19-E19)/E19,"Turn"))</f>
        <v>-3.34303869704317E-2</v>
      </c>
      <c r="E20" s="149">
        <f t="shared" si="8"/>
        <v>0.3075829937366697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431</v>
      </c>
      <c r="C21" s="150">
        <f>Asset_Model!I42</f>
        <v>5051546</v>
      </c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95</v>
      </c>
      <c r="C22" s="150">
        <v>5982092</v>
      </c>
      <c r="D22" s="148">
        <v>5215217</v>
      </c>
      <c r="E22" s="148">
        <v>4362517</v>
      </c>
      <c r="F22" s="148">
        <v>3898132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5084518</v>
      </c>
      <c r="D23" s="148">
        <v>4555459</v>
      </c>
      <c r="E23" s="148">
        <v>4556450</v>
      </c>
      <c r="F23" s="148">
        <v>3312830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f>2915286+C25</f>
        <v>2916855</v>
      </c>
      <c r="D24" s="148">
        <f>2058375+D25</f>
        <v>2061289</v>
      </c>
      <c r="E24" s="148">
        <f>2294584+E25</f>
        <v>2298560</v>
      </c>
      <c r="F24" s="148">
        <f>1312368+F25</f>
        <v>1315974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1569</v>
      </c>
      <c r="D25" s="152">
        <v>2914</v>
      </c>
      <c r="E25" s="152">
        <v>3976</v>
      </c>
      <c r="F25" s="152">
        <v>3606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f>4287778+C27</f>
        <v>4294664</v>
      </c>
      <c r="D26" s="148">
        <f>4247647+D27</f>
        <v>4254707</v>
      </c>
      <c r="E26" s="148">
        <f>2770055+E27</f>
        <v>2774281</v>
      </c>
      <c r="F26" s="148">
        <f>3880034+F27</f>
        <v>3886094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6886</v>
      </c>
      <c r="D27" s="152">
        <v>7060</v>
      </c>
      <c r="E27" s="152">
        <v>4226</v>
      </c>
      <c r="F27" s="152">
        <v>6060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>IF(C7="","",C24+C26)</f>
        <v>7211519</v>
      </c>
      <c r="D28" s="51">
        <f>IF(D7="","",D24+D26)</f>
        <v>6315996</v>
      </c>
      <c r="E28" s="51">
        <f>IF(E7="","",E24+E26)</f>
        <v>5072841</v>
      </c>
      <c r="F28" s="51">
        <f>IF(F7="","",F24+F26)</f>
        <v>5202068</v>
      </c>
      <c r="G28" s="51" t="str">
        <f>IF(G7="","",G24+G26)</f>
        <v/>
      </c>
      <c r="H28" s="51" t="str">
        <f>IF(H7="","",H24+H26)</f>
        <v/>
      </c>
      <c r="I28" s="51" t="str">
        <f>IF(I7="","",I24+I26)</f>
        <v/>
      </c>
      <c r="J28" s="51" t="str">
        <f>IF(J7="","",J24+J26)</f>
        <v/>
      </c>
      <c r="K28" s="51" t="str">
        <f>IF(K7="","",K24+K26)</f>
        <v/>
      </c>
      <c r="L28" s="51" t="str">
        <f>IF(L7="","",L24+L26)</f>
        <v/>
      </c>
      <c r="M28" s="51" t="str">
        <f>IF(M7="","",M24+M26)</f>
        <v/>
      </c>
      <c r="N28" s="6"/>
    </row>
    <row r="29" spans="1:14" ht="15.75" customHeight="1">
      <c r="A29" s="9"/>
      <c r="B29" s="155" t="s">
        <v>59</v>
      </c>
      <c r="C29" s="150">
        <v>5822670</v>
      </c>
      <c r="D29" s="148">
        <v>5528374</v>
      </c>
      <c r="E29" s="148">
        <v>4980287</v>
      </c>
      <c r="F29" s="148">
        <v>4187320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188</v>
      </c>
      <c r="C30" s="153">
        <v>5507945</v>
      </c>
      <c r="D30" s="152">
        <v>5218179</v>
      </c>
      <c r="E30" s="152">
        <v>4699201</v>
      </c>
      <c r="F30" s="152">
        <v>3890784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365</v>
      </c>
      <c r="C31" s="150">
        <v>3646105</v>
      </c>
      <c r="D31" s="148">
        <v>3518709</v>
      </c>
      <c r="E31" s="148">
        <v>3034918</v>
      </c>
      <c r="F31" s="148">
        <v>2850058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201</v>
      </c>
      <c r="C32" s="150">
        <v>1340135</v>
      </c>
      <c r="D32" s="148">
        <v>1014978</v>
      </c>
      <c r="E32" s="148">
        <v>1640081</v>
      </c>
      <c r="F32" s="148">
        <v>1349836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354</v>
      </c>
      <c r="C33" s="161">
        <v>514000</v>
      </c>
      <c r="D33" s="161">
        <v>1341000</v>
      </c>
      <c r="E33" s="161">
        <v>868000</v>
      </c>
      <c r="F33" s="161">
        <v>590000</v>
      </c>
      <c r="G33" s="161" t="str">
        <f>IF(H7="","",G31-H31+IF($C$58="Yes",G60,0))</f>
        <v/>
      </c>
      <c r="H33" s="161" t="str">
        <f>IF(I7="","",H31-I31+IF($C$58="Yes",H60,0))</f>
        <v/>
      </c>
      <c r="I33" s="161" t="str">
        <f>IF(J7="","",I31-J31+IF($C$58="Yes",I60,0))</f>
        <v/>
      </c>
      <c r="J33" s="161" t="str">
        <f>IF(K7="","",J31-K31+IF($C$58="Yes",J60,0))</f>
        <v/>
      </c>
      <c r="K33" s="161" t="str">
        <f>IF(L7="","",K31-L31+IF($C$58="Yes",K60,0))</f>
        <v/>
      </c>
      <c r="L33" s="161" t="str">
        <f>IF(M7="","",L31-M31+IF($C$58="Yes",L60,0))</f>
        <v/>
      </c>
      <c r="M33" s="161" t="str">
        <f>IF(N7="","",M31-N31+IF($C$58="Yes",M60,0))</f>
        <v/>
      </c>
      <c r="N33" s="6"/>
    </row>
    <row r="34" spans="1:14" ht="15.75" customHeight="1">
      <c r="A34" s="9"/>
      <c r="B34" s="155" t="s">
        <v>413</v>
      </c>
      <c r="C34" s="161">
        <v>117000</v>
      </c>
      <c r="D34" s="161">
        <v>918000</v>
      </c>
      <c r="E34" s="161">
        <v>568000</v>
      </c>
      <c r="F34" s="161">
        <v>268000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IF(D7="","",(C7-D7)*Asset_Model!$D$65)</f>
        <v>-36856.949399999998</v>
      </c>
      <c r="D35" s="154">
        <f>IF(E7="","",(D7-E7)*Asset_Model!$D$65)</f>
        <v>415103.7672</v>
      </c>
      <c r="E35" s="154">
        <f>IF(F7="","",(E7-F7)*Asset_Model!$D$65)</f>
        <v>-37321.5789</v>
      </c>
      <c r="F35" s="154" t="str">
        <f>IF(G7="","",(F7-G7)*Asset_Model!$D$65)</f>
        <v/>
      </c>
      <c r="G35" s="154" t="str">
        <f>IF(H7="","",(G7-H7)*Asset_Model!$D$65)</f>
        <v/>
      </c>
      <c r="H35" s="154" t="str">
        <f>IF(I7="","",(H7-I7)*Asset_Model!$D$65)</f>
        <v/>
      </c>
      <c r="I35" s="154" t="str">
        <f>IF(J7="","",(I7-J7)*Asset_Model!$D$65)</f>
        <v/>
      </c>
      <c r="J35" s="154" t="str">
        <f>IF(K7="","",(J7-K7)*Asset_Model!$D$65)</f>
        <v/>
      </c>
      <c r="K35" s="154" t="str">
        <f>IF(L7="","",(K7-L7)*Asset_Model!$D$65)</f>
        <v/>
      </c>
      <c r="L35" s="154" t="str">
        <f>IF(M7="","",(L7-M7)*Asset_Model!$D$65)</f>
        <v/>
      </c>
      <c r="M35" s="154" t="str">
        <f>IF(N7="","",(M7-N7)*Asset_Model!$D$65)</f>
        <v/>
      </c>
      <c r="N35" s="6"/>
    </row>
    <row r="36" spans="1:14" ht="15.75" customHeight="1">
      <c r="A36" s="9"/>
      <c r="B36" s="155" t="s">
        <v>68</v>
      </c>
      <c r="C36" s="51">
        <f>IF(D7="","",C33+C35)</f>
        <v>477143.05060000002</v>
      </c>
      <c r="D36" s="51">
        <f>IF(E7="","",D33+D35)</f>
        <v>1756103.7672000001</v>
      </c>
      <c r="E36" s="51">
        <f>IF(F7="","",E33+E35)</f>
        <v>830678.42110000004</v>
      </c>
      <c r="F36" s="51" t="str">
        <f>IF(G7="","",F33+F35)</f>
        <v/>
      </c>
      <c r="G36" s="51" t="str">
        <f>IF(H7="","",G33+G35)</f>
        <v/>
      </c>
      <c r="H36" s="51" t="str">
        <f>IF(I7="","",H33+H35)</f>
        <v/>
      </c>
      <c r="I36" s="51" t="str">
        <f>IF(J7="","",I33+I35)</f>
        <v/>
      </c>
      <c r="J36" s="51" t="str">
        <f>IF(K7="","",J33+J35)</f>
        <v/>
      </c>
      <c r="K36" s="51" t="str">
        <f>IF(L7="","",K33+K35)</f>
        <v/>
      </c>
      <c r="L36" s="51" t="str">
        <f>IF(M7="","",L33+L35)</f>
        <v/>
      </c>
      <c r="M36" s="51" t="str">
        <f>IF(N7="","",M33+M35)</f>
        <v/>
      </c>
      <c r="N36" s="6"/>
    </row>
    <row r="37" spans="1:14" ht="15.75" customHeight="1">
      <c r="A37" s="9"/>
      <c r="B37" s="155" t="s">
        <v>353</v>
      </c>
      <c r="C37" s="149">
        <f>IF(C36="","",C33/C7)</f>
        <v>6.8143922616079655E-2</v>
      </c>
      <c r="D37" s="149">
        <f>IF(D36="","",D33/D7)</f>
        <v>0.17528621258256979</v>
      </c>
      <c r="E37" s="149">
        <f>IF(E36="","",E33/E7)</f>
        <v>0.13478727601902984</v>
      </c>
      <c r="F37" s="149" t="str">
        <f>IF(F36="","",F33/F7)</f>
        <v/>
      </c>
      <c r="G37" s="149" t="str">
        <f>IF(G36="","",G33/G7)</f>
        <v/>
      </c>
      <c r="H37" s="149" t="str">
        <f>IF(H36="","",H33/H7)</f>
        <v/>
      </c>
      <c r="I37" s="149" t="str">
        <f>IF(I36="","",I33/I7)</f>
        <v/>
      </c>
      <c r="J37" s="149" t="str">
        <f>IF(J36="","",J33/J7)</f>
        <v/>
      </c>
      <c r="K37" s="149" t="str">
        <f>IF(K36="","",K33/K7)</f>
        <v/>
      </c>
      <c r="L37" s="149" t="str">
        <f>IF(L36="","",L33/L7)</f>
        <v/>
      </c>
      <c r="M37" s="149" t="str">
        <f>IF(M36="","",M33/M7)</f>
        <v/>
      </c>
      <c r="N37" s="6"/>
    </row>
    <row r="38" spans="1:14" ht="15.75" customHeight="1">
      <c r="A38" s="9"/>
      <c r="B38" s="157" t="s">
        <v>356</v>
      </c>
      <c r="C38" s="158">
        <f>IF(C36="","",C33/C16)</f>
        <v>0.63334636375706244</v>
      </c>
      <c r="D38" s="158">
        <f>IF(D36="","",D33/D16)</f>
        <v>1.1886353694807896</v>
      </c>
      <c r="E38" s="158">
        <f>IF(E36="","",E33/E16)</f>
        <v>0.75476899003778841</v>
      </c>
      <c r="F38" s="158" t="str">
        <f>IF(F36="","",F33/F16)</f>
        <v/>
      </c>
      <c r="G38" s="158" t="str">
        <f>IF(G36="","",G33/G16)</f>
        <v/>
      </c>
      <c r="H38" s="158" t="str">
        <f>IF(H36="","",H33/H16)</f>
        <v/>
      </c>
      <c r="I38" s="158" t="str">
        <f>IF(I36="","",I33/I16)</f>
        <v/>
      </c>
      <c r="J38" s="158" t="str">
        <f>IF(J36="","",J33/J16)</f>
        <v/>
      </c>
      <c r="K38" s="158" t="str">
        <f>IF(K36="","",K33/K16)</f>
        <v/>
      </c>
      <c r="L38" s="158" t="str">
        <f>IF(L36="","",L33/L16)</f>
        <v/>
      </c>
      <c r="M38" s="158" t="str">
        <f>IF(M36="","",M33/M16)</f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219</v>
      </c>
      <c r="C40" s="163">
        <v>223081</v>
      </c>
      <c r="D40" s="163">
        <v>289322</v>
      </c>
      <c r="E40" s="163">
        <v>235003</v>
      </c>
      <c r="F40" s="163">
        <v>211838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269421</v>
      </c>
      <c r="D41" s="161">
        <v>200697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184</v>
      </c>
      <c r="C42" s="162">
        <f t="shared" ref="C42:M42" si="9">IF(C40="","",C40*$C$4/Common_Shares)</f>
        <v>0.22719664264426342</v>
      </c>
      <c r="D42" s="162">
        <f t="shared" si="9"/>
        <v>0.29465972917067607</v>
      </c>
      <c r="E42" s="162">
        <f t="shared" si="9"/>
        <v>0.23933859275926608</v>
      </c>
      <c r="F42" s="162">
        <f t="shared" si="9"/>
        <v>0.21574621946501707</v>
      </c>
      <c r="G42" s="162" t="str">
        <f t="shared" si="9"/>
        <v/>
      </c>
      <c r="H42" s="162" t="str">
        <f t="shared" si="9"/>
        <v/>
      </c>
      <c r="I42" s="162" t="str">
        <f t="shared" si="9"/>
        <v/>
      </c>
      <c r="J42" s="162" t="str">
        <f t="shared" si="9"/>
        <v/>
      </c>
      <c r="K42" s="162" t="str">
        <f t="shared" si="9"/>
        <v/>
      </c>
      <c r="L42" s="162" t="str">
        <f t="shared" si="9"/>
        <v/>
      </c>
      <c r="M42" s="162" t="str">
        <f t="shared" si="9"/>
        <v/>
      </c>
      <c r="N42" s="6"/>
    </row>
    <row r="43" spans="1:14" ht="15.75" customHeight="1">
      <c r="A43" s="9"/>
      <c r="B43" s="157" t="s">
        <v>185</v>
      </c>
      <c r="C43" s="164">
        <f t="shared" ref="C43:M43" si="10">IF(C41="","",C41*$C$4/Common_Shares)</f>
        <v>0.27439157372371514</v>
      </c>
      <c r="D43" s="164">
        <f t="shared" si="10"/>
        <v>0.20439967809349849</v>
      </c>
      <c r="E43" s="164">
        <f t="shared" si="10"/>
        <v>0</v>
      </c>
      <c r="F43" s="164">
        <f t="shared" si="10"/>
        <v>0</v>
      </c>
      <c r="G43" s="164" t="str">
        <f t="shared" si="10"/>
        <v/>
      </c>
      <c r="H43" s="164" t="str">
        <f t="shared" si="10"/>
        <v/>
      </c>
      <c r="I43" s="164" t="str">
        <f t="shared" si="10"/>
        <v/>
      </c>
      <c r="J43" s="164" t="str">
        <f t="shared" si="10"/>
        <v/>
      </c>
      <c r="K43" s="164" t="str">
        <f t="shared" si="10"/>
        <v/>
      </c>
      <c r="L43" s="164" t="str">
        <f t="shared" si="10"/>
        <v/>
      </c>
      <c r="M43" s="164" t="str">
        <f t="shared" si="10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403</v>
      </c>
      <c r="C45" s="166">
        <f>IF(C30="","",(C23+C21)/(C29+C23+C21))</f>
        <v>0.63514211089676664</v>
      </c>
      <c r="D45" s="166">
        <f t="shared" ref="D45:M45" si="11">IF(D30="","",D26/D30)</f>
        <v>0.81536240899363555</v>
      </c>
      <c r="E45" s="166">
        <f t="shared" si="11"/>
        <v>0.59037291658730917</v>
      </c>
      <c r="F45" s="166">
        <f t="shared" si="11"/>
        <v>0.99879458741477301</v>
      </c>
      <c r="G45" s="166" t="str">
        <f t="shared" si="11"/>
        <v/>
      </c>
      <c r="H45" s="166" t="str">
        <f t="shared" si="11"/>
        <v/>
      </c>
      <c r="I45" s="166" t="str">
        <f t="shared" si="11"/>
        <v/>
      </c>
      <c r="J45" s="166" t="str">
        <f t="shared" si="11"/>
        <v/>
      </c>
      <c r="K45" s="166" t="str">
        <f t="shared" si="11"/>
        <v/>
      </c>
      <c r="L45" s="166" t="str">
        <f t="shared" si="11"/>
        <v/>
      </c>
      <c r="M45" s="166" t="str">
        <f t="shared" si="11"/>
        <v/>
      </c>
      <c r="N45" s="6"/>
    </row>
    <row r="46" spans="1:14" ht="15.75" customHeight="1">
      <c r="A46" s="9"/>
      <c r="B46" s="155" t="s">
        <v>415</v>
      </c>
      <c r="C46" s="149">
        <f t="shared" ref="C46:M46" si="12">IF(C30="","",C28/C30)</f>
        <v>1.309293938120297</v>
      </c>
      <c r="D46" s="149">
        <f t="shared" si="12"/>
        <v>1.2103831624020565</v>
      </c>
      <c r="E46" s="149">
        <f t="shared" si="12"/>
        <v>1.0795113892766026</v>
      </c>
      <c r="F46" s="149">
        <f t="shared" si="12"/>
        <v>1.3370230781251284</v>
      </c>
      <c r="G46" s="149" t="str">
        <f t="shared" si="12"/>
        <v/>
      </c>
      <c r="H46" s="149" t="str">
        <f t="shared" si="12"/>
        <v/>
      </c>
      <c r="I46" s="149" t="str">
        <f t="shared" si="12"/>
        <v/>
      </c>
      <c r="J46" s="149" t="str">
        <f t="shared" si="12"/>
        <v/>
      </c>
      <c r="K46" s="149" t="str">
        <f t="shared" si="12"/>
        <v/>
      </c>
      <c r="L46" s="149" t="str">
        <f t="shared" si="12"/>
        <v/>
      </c>
      <c r="M46" s="149" t="str">
        <f t="shared" si="12"/>
        <v/>
      </c>
      <c r="N46" s="6"/>
    </row>
    <row r="47" spans="1:14" ht="15.75" customHeight="1">
      <c r="A47" s="9"/>
      <c r="B47" s="155" t="s">
        <v>64</v>
      </c>
      <c r="C47" s="165">
        <f>IF(C14="","",IF(C28&lt;=0,"-",C14/C28))</f>
        <v>0.15004924759956953</v>
      </c>
      <c r="D47" s="165">
        <f>IF(D14="","",IF(D28&lt;=0,"-",D14/D28))</f>
        <v>0.23816449535433526</v>
      </c>
      <c r="E47" s="165">
        <f>IF(E14="","",IF(E28&lt;=0,"-",E14/E28))</f>
        <v>0.30226868928081918</v>
      </c>
      <c r="F47" s="165">
        <f>IF(F14="","",IF(F28&lt;=0,"-",F14/F28))</f>
        <v>0.27871742545464612</v>
      </c>
      <c r="G47" s="165" t="str">
        <f>IF(G14="","",IF(G28&lt;=0,"-",G14/G28))</f>
        <v/>
      </c>
      <c r="H47" s="165" t="str">
        <f>IF(H14="","",IF(H28&lt;=0,"-",H14/H28))</f>
        <v/>
      </c>
      <c r="I47" s="165" t="str">
        <f>IF(I14="","",IF(I28&lt;=0,"-",I14/I28))</f>
        <v/>
      </c>
      <c r="J47" s="165" t="str">
        <f>IF(J14="","",IF(J28&lt;=0,"-",J14/J28))</f>
        <v/>
      </c>
      <c r="K47" s="165" t="str">
        <f>IF(K14="","",IF(K28&lt;=0,"-",K14/K28))</f>
        <v/>
      </c>
      <c r="L47" s="165" t="str">
        <f>IF(L14="","",IF(L28&lt;=0,"-",L14/L28))</f>
        <v/>
      </c>
      <c r="M47" s="165" t="str">
        <f>IF(M14="","",IF(M28&lt;=0,"-",M14/M28))</f>
        <v/>
      </c>
      <c r="N47" s="6"/>
    </row>
    <row r="48" spans="1:14" ht="15.75" customHeight="1">
      <c r="A48" s="9"/>
      <c r="B48" s="155" t="s">
        <v>65</v>
      </c>
      <c r="C48" s="149">
        <f>IF(C16="","",IF(C18&lt;=0,"-",C18/C16))</f>
        <v>0.40040674637096541</v>
      </c>
      <c r="D48" s="149">
        <f>IF(D16="","",IF(D18&lt;=0,"-",D18/D16))</f>
        <v>0.20899241214535388</v>
      </c>
      <c r="E48" s="149">
        <f>IF(E16="","",IF(E18&lt;=0,"-",E18/E16))</f>
        <v>0.21769259380754652</v>
      </c>
      <c r="F48" s="149">
        <f>IF(F16="","",IF(F18&lt;=0,"-",F18/F16))</f>
        <v>0.26750773210511664</v>
      </c>
      <c r="G48" s="149" t="str">
        <f>IF(G16="","",IF(G18&lt;=0,"-",G18/G16))</f>
        <v/>
      </c>
      <c r="H48" s="149" t="str">
        <f>IF(H16="","",IF(H18&lt;=0,"-",H18/H16))</f>
        <v/>
      </c>
      <c r="I48" s="149" t="str">
        <f>IF(I16="","",IF(I18&lt;=0,"-",I18/I16))</f>
        <v/>
      </c>
      <c r="J48" s="149" t="str">
        <f>IF(J16="","",IF(J18&lt;=0,"-",J18/J16))</f>
        <v/>
      </c>
      <c r="K48" s="149" t="str">
        <f>IF(K16="","",IF(K18&lt;=0,"-",K18/K16))</f>
        <v/>
      </c>
      <c r="L48" s="149" t="str">
        <f>IF(L16="","",IF(L18&lt;=0,"-",L18/L16))</f>
        <v/>
      </c>
      <c r="M48" s="149" t="str">
        <f>IF(M16="","",IF(M18&lt;=0,"-",M18/M16))</f>
        <v/>
      </c>
      <c r="N48" s="6"/>
    </row>
    <row r="49" spans="1:14" ht="15.75" customHeight="1">
      <c r="A49" s="9"/>
      <c r="B49" s="157" t="s">
        <v>66</v>
      </c>
      <c r="C49" s="167">
        <f>IF(C22="","",C22/C23)</f>
        <v>1.176530794069369</v>
      </c>
      <c r="D49" s="167">
        <f>IF(D22="","",D22/D23)</f>
        <v>1.1448279964763155</v>
      </c>
      <c r="E49" s="167">
        <f>IF(E22="","",E22/E23)</f>
        <v>0.95743769820803482</v>
      </c>
      <c r="F49" s="167">
        <f>IF(F22="","",F22/F23)</f>
        <v>1.1766773423326884</v>
      </c>
      <c r="G49" s="167" t="str">
        <f>IF(G22="","",G22/G23)</f>
        <v/>
      </c>
      <c r="H49" s="167" t="str">
        <f>IF(H22="","",H22/H23)</f>
        <v/>
      </c>
      <c r="I49" s="167" t="str">
        <f>IF(I22="","",I22/I23)</f>
        <v/>
      </c>
      <c r="J49" s="167" t="str">
        <f>IF(J22="","",J22/J23)</f>
        <v/>
      </c>
      <c r="K49" s="167" t="str">
        <f>IF(K22="","",K22/K23)</f>
        <v/>
      </c>
      <c r="L49" s="167" t="str">
        <f>IF(L22="","",L22/L23)</f>
        <v/>
      </c>
      <c r="M49" s="167" t="str">
        <f>IF(M22="","",M22/M23)</f>
        <v/>
      </c>
      <c r="N49" s="6"/>
    </row>
    <row r="50" spans="1:14" ht="15.75" customHeight="1">
      <c r="A50" s="9"/>
      <c r="B50" s="140" t="s">
        <v>298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299</v>
      </c>
      <c r="C51" s="166">
        <f>C13</f>
        <v>0.14345793816376523</v>
      </c>
      <c r="D51" s="166">
        <f>D13</f>
        <v>0.19662459666851625</v>
      </c>
      <c r="E51" s="166">
        <f>E13</f>
        <v>0.23810777919794426</v>
      </c>
      <c r="F51" s="166">
        <f>F13</f>
        <v>0.22140656242278905</v>
      </c>
      <c r="G51" s="166" t="str">
        <f>G13</f>
        <v/>
      </c>
      <c r="H51" s="166" t="str">
        <f>H13</f>
        <v/>
      </c>
      <c r="I51" s="166" t="str">
        <f>I13</f>
        <v/>
      </c>
      <c r="J51" s="166" t="str">
        <f>J13</f>
        <v/>
      </c>
      <c r="K51" s="166" t="str">
        <f>K13</f>
        <v/>
      </c>
      <c r="L51" s="166" t="str">
        <f>L13</f>
        <v/>
      </c>
      <c r="M51" s="166" t="str">
        <f>M13</f>
        <v/>
      </c>
      <c r="N51" s="6"/>
    </row>
    <row r="52" spans="1:14" ht="15.75" customHeight="1">
      <c r="A52" s="9"/>
      <c r="B52" s="155" t="s">
        <v>300</v>
      </c>
      <c r="C52" s="149">
        <f>C7/(C30+C23+C21)</f>
        <v>0.48215639610025796</v>
      </c>
      <c r="D52" s="149">
        <f>IF(D7="","",D7/(D30+D22+D23))</f>
        <v>0.51040222885604003</v>
      </c>
      <c r="E52" s="149">
        <f>IF(E7="","",E7/(E30+E22+E23))</f>
        <v>0.47288130092094621</v>
      </c>
      <c r="F52" s="149">
        <f>IF(F7="","",F7/(F30+F22+F23))</f>
        <v>0.58987280018836674</v>
      </c>
      <c r="G52" s="149" t="str">
        <f>IF(G7="","",G7/(G30+G22+G23))</f>
        <v/>
      </c>
      <c r="H52" s="149" t="str">
        <f>IF(H7="","",H7/(H30+H22+H23))</f>
        <v/>
      </c>
      <c r="I52" s="149" t="str">
        <f>IF(I7="","",I7/(I30+I22+I23))</f>
        <v/>
      </c>
      <c r="J52" s="149" t="str">
        <f>IF(J7="","",J7/(J30+J22+J23))</f>
        <v/>
      </c>
      <c r="K52" s="149" t="str">
        <f>IF(K7="","",K7/(K30+K22+K23))</f>
        <v/>
      </c>
      <c r="L52" s="149" t="str">
        <f>IF(L7="","",L7/(L30+L22+L23))</f>
        <v/>
      </c>
      <c r="M52" s="149" t="str">
        <f>IF(M7="","",M7/(M30+M22+M23))</f>
        <v/>
      </c>
      <c r="N52" s="6"/>
    </row>
    <row r="53" spans="1:14" ht="15.75" customHeight="1">
      <c r="A53" s="9"/>
      <c r="B53" s="155" t="s">
        <v>301</v>
      </c>
      <c r="C53" s="168">
        <f>(C30+C22+C23)/C30</f>
        <v>3.0092085160617978</v>
      </c>
      <c r="D53" s="168">
        <f>IF(D30="","",(D30+D22+D23)/D30)</f>
        <v>2.8724302098490679</v>
      </c>
      <c r="E53" s="168">
        <f>IF(E30="","",(E30+E22+E23)/E30)</f>
        <v>2.8979752089770154</v>
      </c>
      <c r="F53" s="168">
        <f>IF(F30="","",(F30+F22+F23)/F30)</f>
        <v>2.8533442103185371</v>
      </c>
      <c r="G53" s="168" t="str">
        <f>IF(G30="","",(G30+G22+G23)/G30)</f>
        <v/>
      </c>
      <c r="H53" s="168" t="str">
        <f>IF(H30="","",(H30+H22+H23)/H30)</f>
        <v/>
      </c>
      <c r="I53" s="168" t="str">
        <f>IF(I30="","",(I30+I22+I23)/I30)</f>
        <v/>
      </c>
      <c r="J53" s="168" t="str">
        <f>IF(J30="","",(J30+J22+J23)/J30)</f>
        <v/>
      </c>
      <c r="K53" s="168" t="str">
        <f>IF(K30="","",(K30+K22+K23)/K30)</f>
        <v/>
      </c>
      <c r="L53" s="168" t="str">
        <f>IF(L30="","",(L30+L22+L23)/L30)</f>
        <v/>
      </c>
      <c r="M53" s="168" t="str">
        <f>IF(M30="","",(M30+M22+M23)/M30)</f>
        <v/>
      </c>
      <c r="N53" s="6"/>
    </row>
    <row r="54" spans="1:14" ht="15.75" customHeight="1">
      <c r="A54" s="9"/>
      <c r="B54" s="155" t="s">
        <v>302</v>
      </c>
      <c r="C54" s="149">
        <f>C51*C52*C53</f>
        <v>0.20814443271451061</v>
      </c>
      <c r="D54" s="149">
        <f>IF(D51="","",D51*D52*D53)</f>
        <v>0.28827029505887014</v>
      </c>
      <c r="E54" s="149">
        <f t="shared" ref="E54:M54" si="13">IF(E51="","",E51*E52*E53)</f>
        <v>0.32630249270035483</v>
      </c>
      <c r="F54" s="149">
        <f t="shared" si="13"/>
        <v>0.37265163010848196</v>
      </c>
      <c r="G54" s="149" t="str">
        <f t="shared" si="13"/>
        <v/>
      </c>
      <c r="H54" s="149" t="str">
        <f t="shared" si="13"/>
        <v/>
      </c>
      <c r="I54" s="149" t="str">
        <f t="shared" si="13"/>
        <v/>
      </c>
      <c r="J54" s="149" t="str">
        <f t="shared" si="13"/>
        <v/>
      </c>
      <c r="K54" s="149" t="str">
        <f t="shared" si="13"/>
        <v/>
      </c>
      <c r="L54" s="149" t="str">
        <f t="shared" si="13"/>
        <v/>
      </c>
      <c r="M54" s="149" t="str">
        <f t="shared" si="13"/>
        <v/>
      </c>
      <c r="N54" s="6"/>
    </row>
    <row r="55" spans="1:14" ht="15.75" customHeight="1">
      <c r="A55" s="9"/>
      <c r="B55" s="169" t="s">
        <v>303</v>
      </c>
      <c r="C55" s="158">
        <f>C38*C54</f>
        <v>0.13182751959601186</v>
      </c>
      <c r="D55" s="158">
        <f>IF(D38="","",D38*D54)</f>
        <v>0.34264826867763637</v>
      </c>
      <c r="E55" s="158">
        <f t="shared" ref="E55:M55" si="14">IF(E38="","",E38*E54)</f>
        <v>0.24628300286225965</v>
      </c>
      <c r="F55" s="158" t="str">
        <f t="shared" si="14"/>
        <v/>
      </c>
      <c r="G55" s="158" t="str">
        <f t="shared" si="14"/>
        <v/>
      </c>
      <c r="H55" s="158" t="str">
        <f t="shared" si="14"/>
        <v/>
      </c>
      <c r="I55" s="158" t="str">
        <f t="shared" si="14"/>
        <v/>
      </c>
      <c r="J55" s="158" t="str">
        <f t="shared" si="14"/>
        <v/>
      </c>
      <c r="K55" s="158" t="str">
        <f t="shared" si="14"/>
        <v/>
      </c>
      <c r="L55" s="158" t="str">
        <f t="shared" si="14"/>
        <v/>
      </c>
      <c r="M55" s="158" t="str">
        <f t="shared" si="14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351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332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251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252</v>
      </c>
      <c r="C61" s="173">
        <f>IF(C60="","",C60/C7)</f>
        <v>0</v>
      </c>
      <c r="D61" s="173">
        <f>IF(D60="","",D60/D7)</f>
        <v>0</v>
      </c>
      <c r="E61" s="173">
        <f>IF(E60="","",E60/E7)</f>
        <v>0</v>
      </c>
      <c r="F61" s="173" t="str">
        <f>IF(F60="","",F60/F7)</f>
        <v/>
      </c>
      <c r="G61" s="173" t="str">
        <f>IF(G60="","",G60/G7)</f>
        <v/>
      </c>
      <c r="H61" s="173" t="str">
        <f>IF(H60="","",H60/H7)</f>
        <v/>
      </c>
      <c r="I61" s="173" t="str">
        <f>IF(I60="","",I60/I7)</f>
        <v/>
      </c>
      <c r="J61" s="173" t="str">
        <f>IF(J60="","",J60/J7)</f>
        <v/>
      </c>
      <c r="K61" s="173" t="str">
        <f>IF(K60="","",K60/K7)</f>
        <v/>
      </c>
      <c r="L61" s="173" t="str">
        <f>IF(L60="","",L60/L7)</f>
        <v/>
      </c>
      <c r="M61" s="173" t="str">
        <f>IF(M60="","",M60/M7)</f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2" priority="2">
      <formula>$C$58="No"</formula>
    </cfRule>
  </conditionalFormatting>
  <conditionalFormatting sqref="D45:M49 D51:M55 C7:M38">
    <cfRule type="containsBlanks" dxfId="11" priority="5">
      <formula>LEN(TRIM(C7))=0</formula>
    </cfRule>
  </conditionalFormatting>
  <conditionalFormatting sqref="C40:M43">
    <cfRule type="containsBlanks" dxfId="10" priority="7">
      <formula>LEN(TRIM(C40))=0</formula>
    </cfRule>
  </conditionalFormatting>
  <conditionalFormatting sqref="D17:M18">
    <cfRule type="containsBlanks" dxfId="9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D47" sqref="D4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6"/>
      <c r="E2" s="6"/>
      <c r="F2" s="12"/>
      <c r="G2" s="12"/>
      <c r="H2" s="12"/>
      <c r="I2" s="6"/>
      <c r="K2" s="127" t="s">
        <v>122</v>
      </c>
    </row>
    <row r="3" spans="1:11" ht="15" customHeight="1">
      <c r="B3" s="5" t="s">
        <v>220</v>
      </c>
      <c r="C3" s="6"/>
      <c r="D3" s="191">
        <v>5822670</v>
      </c>
      <c r="E3" s="192" t="str">
        <f>IF((C46-I46)=D3,"", "Error!")</f>
        <v/>
      </c>
      <c r="F3" s="6"/>
      <c r="G3" s="6"/>
      <c r="H3" s="112" t="s">
        <v>221</v>
      </c>
      <c r="I3" s="163">
        <v>5507945</v>
      </c>
      <c r="K3" s="43"/>
    </row>
    <row r="4" spans="1:11" ht="15" customHeight="1">
      <c r="B4" s="5" t="s">
        <v>198</v>
      </c>
      <c r="C4" s="6"/>
      <c r="D4" s="187">
        <f>D3-I3</f>
        <v>314725</v>
      </c>
      <c r="E4" s="90"/>
      <c r="F4" s="6"/>
      <c r="G4" s="6"/>
      <c r="H4" s="38" t="s">
        <v>71</v>
      </c>
      <c r="I4" s="139">
        <f>(I3*Dashboard!I12*Data!C4)/Dashboard!I5</f>
        <v>6.1144221468322755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325</v>
      </c>
      <c r="C6" s="6"/>
      <c r="D6" s="196">
        <f>E46-I46-E50</f>
        <v>-1348199.9000000004</v>
      </c>
      <c r="E6" s="149">
        <f>1-D6/D3</f>
        <v>1.2315432439070049</v>
      </c>
      <c r="F6" s="6"/>
      <c r="G6" s="6"/>
      <c r="H6" s="3" t="s">
        <v>262</v>
      </c>
      <c r="I6" s="184">
        <f>C26/I26</f>
        <v>1.176530794069369</v>
      </c>
      <c r="J6" s="6"/>
      <c r="K6" s="43"/>
    </row>
    <row r="7" spans="1:11" ht="15" customHeight="1" thickTop="1">
      <c r="B7" s="32" t="s">
        <v>326</v>
      </c>
      <c r="C7" s="6"/>
      <c r="D7" s="188">
        <f>MAX((D6*Exchange_Rate*Data!C4)/Common_Shares, 0)</f>
        <v>0</v>
      </c>
      <c r="E7" s="18" t="str">
        <f>Dashboard!J4</f>
        <v>HKD</v>
      </c>
      <c r="H7" s="3" t="s">
        <v>263</v>
      </c>
      <c r="I7" s="184">
        <f>C25/I26</f>
        <v>1.1511085219877282</v>
      </c>
      <c r="J7" s="6"/>
      <c r="K7" s="77"/>
    </row>
    <row r="8" spans="1:11" ht="15" customHeight="1">
      <c r="C8" s="6"/>
      <c r="D8" s="6"/>
      <c r="E8" s="6"/>
      <c r="H8" s="3" t="s">
        <v>264</v>
      </c>
      <c r="I8" s="184">
        <f>C24/I26</f>
        <v>0.30297680134085475</v>
      </c>
      <c r="K8" s="43"/>
    </row>
    <row r="9" spans="1:11" ht="15" customHeight="1">
      <c r="A9" s="4"/>
      <c r="B9" s="111" t="s">
        <v>216</v>
      </c>
      <c r="C9" s="84"/>
      <c r="D9" s="189">
        <v>44926</v>
      </c>
      <c r="E9" s="190" t="s">
        <v>345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90" t="s">
        <v>74</v>
      </c>
      <c r="D10" s="290" t="s">
        <v>75</v>
      </c>
      <c r="E10" s="290" t="s">
        <v>76</v>
      </c>
      <c r="F10" s="291" t="s">
        <v>207</v>
      </c>
      <c r="G10" s="6"/>
      <c r="H10" s="40" t="s">
        <v>77</v>
      </c>
      <c r="I10" s="290" t="s">
        <v>74</v>
      </c>
      <c r="K10" s="43"/>
    </row>
    <row r="11" spans="1:11" ht="15" customHeight="1">
      <c r="B11" s="5" t="s">
        <v>78</v>
      </c>
      <c r="C11" s="179">
        <v>1340135</v>
      </c>
      <c r="D11" s="180">
        <v>1</v>
      </c>
      <c r="E11" s="51">
        <f t="shared" ref="E11:E21" si="0">C11*D11</f>
        <v>1340135</v>
      </c>
      <c r="F11" s="6"/>
      <c r="G11" s="6"/>
      <c r="H11" s="5" t="s">
        <v>79</v>
      </c>
      <c r="I11" s="179">
        <v>2915286</v>
      </c>
      <c r="J11" s="6"/>
      <c r="K11" s="43"/>
    </row>
    <row r="12" spans="1:11" ht="14">
      <c r="B12" s="3" t="s">
        <v>80</v>
      </c>
      <c r="C12" s="179">
        <v>134745</v>
      </c>
      <c r="D12" s="180">
        <v>1</v>
      </c>
      <c r="E12" s="51">
        <f t="shared" si="0"/>
        <v>134745</v>
      </c>
      <c r="F12" s="6"/>
      <c r="G12" s="6"/>
      <c r="H12" s="5" t="s">
        <v>81</v>
      </c>
      <c r="I12" s="179">
        <v>1569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f>54712+10899</f>
        <v>65611</v>
      </c>
      <c r="D14" s="180">
        <v>0.7</v>
      </c>
      <c r="E14" s="51">
        <f t="shared" si="0"/>
        <v>45927.7</v>
      </c>
      <c r="F14" s="6"/>
      <c r="G14" s="6"/>
      <c r="H14" s="6" t="s">
        <v>362</v>
      </c>
      <c r="I14" s="179">
        <v>8562</v>
      </c>
      <c r="J14" s="6"/>
      <c r="K14" s="47"/>
    </row>
    <row r="15" spans="1:11" ht="14">
      <c r="B15" s="5" t="s">
        <v>86</v>
      </c>
      <c r="C15" s="179">
        <v>0</v>
      </c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I26-SUM(I11:I14)</f>
        <v>2159101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208</v>
      </c>
      <c r="G16" s="58">
        <f>IF(F16="Y",0,1)</f>
        <v>0</v>
      </c>
      <c r="H16" s="5"/>
      <c r="I16" s="94"/>
      <c r="J16" s="6"/>
    </row>
    <row r="17" spans="2:10" ht="14">
      <c r="B17" s="5" t="s">
        <v>361</v>
      </c>
      <c r="C17" s="179">
        <f>1644577+2667764</f>
        <v>4312341</v>
      </c>
      <c r="D17" s="180">
        <v>0.9</v>
      </c>
      <c r="E17" s="51">
        <f t="shared" si="0"/>
        <v>3881106.9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129260</v>
      </c>
      <c r="D18" s="180">
        <v>0.7</v>
      </c>
      <c r="E18" s="51">
        <f t="shared" si="0"/>
        <v>90482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208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208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6"/>
      <c r="G23" s="6"/>
      <c r="H23" s="6"/>
      <c r="I23" s="6"/>
    </row>
    <row r="24" spans="2:10" ht="15" customHeight="1">
      <c r="B24" s="41" t="s">
        <v>93</v>
      </c>
      <c r="C24" s="182">
        <f>SUM(C11:C14)</f>
        <v>1540491</v>
      </c>
      <c r="D24" s="183">
        <f>IF(E24=0,0,E24/C24)</f>
        <v>0.98722271016188989</v>
      </c>
      <c r="E24" s="51">
        <f>SUM(E11:E14)</f>
        <v>1520807.7</v>
      </c>
      <c r="F24" s="6"/>
      <c r="G24" s="6"/>
      <c r="H24" s="41" t="s">
        <v>265</v>
      </c>
      <c r="I24" s="184">
        <f>E24/($I$26-I15)</f>
        <v>0.51986014301550854</v>
      </c>
      <c r="J24" s="13" t="str">
        <f>IF(I24&lt;1,"Liquidity Problem!","")</f>
        <v>Liquidity Problem!</v>
      </c>
    </row>
    <row r="25" spans="2:10" ht="15" customHeight="1" thickBot="1">
      <c r="B25" s="195" t="s">
        <v>94</v>
      </c>
      <c r="C25" s="196">
        <f>C24+SUM(C15:C17)</f>
        <v>5852832</v>
      </c>
      <c r="D25" s="197">
        <f>IF(E25=0,0,E25/C25)</f>
        <v>0.92295739908475072</v>
      </c>
      <c r="E25" s="194">
        <f>E24+SUM(E15:E17)</f>
        <v>5401914.5999999996</v>
      </c>
      <c r="F25" s="6"/>
      <c r="G25" s="6"/>
      <c r="H25" s="195" t="s">
        <v>269</v>
      </c>
      <c r="I25" s="198">
        <f>E25/$I$26</f>
        <v>1.0624241275180852</v>
      </c>
      <c r="J25" s="13" t="str">
        <f>IF(OR(I25&lt;0.75,C26&lt;I26),"Liquidity Problem!","")</f>
        <v/>
      </c>
    </row>
    <row r="26" spans="2:10" ht="15" customHeight="1" thickTop="1">
      <c r="B26" s="5" t="s">
        <v>95</v>
      </c>
      <c r="C26" s="182">
        <f>SUM(C11:C22)</f>
        <v>5982092</v>
      </c>
      <c r="D26" s="149">
        <f t="shared" ref="D26" si="2">E26/C26</f>
        <v>0.91813977451366502</v>
      </c>
      <c r="E26" s="51">
        <f>SUM(E11:E22)</f>
        <v>5492396.5999999996</v>
      </c>
      <c r="F26" s="6"/>
      <c r="G26" s="6"/>
      <c r="H26" s="5" t="s">
        <v>53</v>
      </c>
      <c r="I26" s="179">
        <v>5084518</v>
      </c>
      <c r="J26" s="68">
        <f>IF(J24="",1,0)+IF(J25="",1,0)+IF(J44="",1,0)+IF(J45="",1,0)</f>
        <v>2</v>
      </c>
    </row>
    <row r="27" spans="2:10" ht="15" customHeight="1">
      <c r="C27" s="6"/>
      <c r="D27" s="6"/>
      <c r="E27" s="6"/>
      <c r="F27" s="22" t="s">
        <v>207</v>
      </c>
      <c r="G27" s="6"/>
      <c r="H27" s="6"/>
      <c r="I27" s="6"/>
      <c r="J27" s="6"/>
    </row>
    <row r="28" spans="2:10" ht="15" customHeight="1">
      <c r="B28" s="5" t="s">
        <v>96</v>
      </c>
      <c r="C28" s="179">
        <v>0</v>
      </c>
      <c r="D28" s="180">
        <v>0.95</v>
      </c>
      <c r="E28" s="51">
        <v>0</v>
      </c>
      <c r="F28" s="6"/>
      <c r="G28" s="6"/>
      <c r="H28" s="5" t="s">
        <v>97</v>
      </c>
      <c r="I28" s="179">
        <v>4287778</v>
      </c>
      <c r="J28" s="6"/>
    </row>
    <row r="29" spans="2:10" ht="15" customHeight="1">
      <c r="B29" s="5" t="s">
        <v>98</v>
      </c>
      <c r="C29" s="179">
        <f>80687+59800</f>
        <v>140487</v>
      </c>
      <c r="D29" s="180">
        <v>0.7</v>
      </c>
      <c r="E29" s="51">
        <f t="shared" ref="E29:E40" si="3">C29*D29</f>
        <v>98340.9</v>
      </c>
      <c r="F29" s="6"/>
      <c r="G29" s="6"/>
      <c r="H29" s="5" t="s">
        <v>99</v>
      </c>
      <c r="I29" s="179">
        <v>6886</v>
      </c>
      <c r="J29" s="6"/>
    </row>
    <row r="30" spans="2:10" ht="15" customHeight="1">
      <c r="B30" s="5" t="s">
        <v>100</v>
      </c>
      <c r="C30" s="179">
        <v>0</v>
      </c>
      <c r="D30" s="180">
        <v>0.5</v>
      </c>
      <c r="E30" s="51">
        <f t="shared" si="3"/>
        <v>0</v>
      </c>
      <c r="F30" s="6"/>
      <c r="G30" s="6"/>
      <c r="H30" s="5" t="s">
        <v>102</v>
      </c>
      <c r="I30" s="179">
        <v>0</v>
      </c>
      <c r="J30" s="6"/>
    </row>
    <row r="31" spans="2:10" ht="14">
      <c r="B31" s="3" t="s">
        <v>101</v>
      </c>
      <c r="C31" s="179">
        <v>0</v>
      </c>
      <c r="D31" s="180">
        <v>0.5</v>
      </c>
      <c r="E31" s="51">
        <f t="shared" si="3"/>
        <v>0</v>
      </c>
      <c r="F31" s="181" t="s">
        <v>208</v>
      </c>
      <c r="G31" s="58">
        <f>IF(F31="Y",0,1)</f>
        <v>0</v>
      </c>
      <c r="H31" s="6" t="s">
        <v>363</v>
      </c>
      <c r="I31" s="179">
        <v>0</v>
      </c>
      <c r="J31" s="6"/>
    </row>
    <row r="32" spans="2:10" ht="14">
      <c r="B32" s="5" t="s">
        <v>103</v>
      </c>
      <c r="C32" s="179">
        <v>13221</v>
      </c>
      <c r="D32" s="180">
        <v>0.4</v>
      </c>
      <c r="E32" s="51">
        <f t="shared" si="3"/>
        <v>5288.4000000000005</v>
      </c>
      <c r="F32" s="6"/>
      <c r="G32" s="6"/>
      <c r="H32" s="5" t="s">
        <v>104</v>
      </c>
      <c r="I32" s="130">
        <f>I42-SUM(I28:I31)</f>
        <v>756882</v>
      </c>
      <c r="J32" s="6"/>
    </row>
    <row r="33" spans="2:10" ht="14">
      <c r="B33" s="5" t="s">
        <v>105</v>
      </c>
      <c r="C33" s="179">
        <v>801015</v>
      </c>
      <c r="D33" s="180">
        <v>0.5</v>
      </c>
      <c r="E33" s="51">
        <f t="shared" si="3"/>
        <v>400507.5</v>
      </c>
      <c r="F33" s="181" t="s">
        <v>209</v>
      </c>
      <c r="G33" s="58">
        <f>IF(F33="Y",0,1)</f>
        <v>1</v>
      </c>
      <c r="H33" s="6"/>
      <c r="I33" s="6"/>
      <c r="J33" s="6"/>
    </row>
    <row r="34" spans="2:10" ht="14">
      <c r="B34" s="5" t="s">
        <v>106</v>
      </c>
      <c r="C34" s="179">
        <v>41576</v>
      </c>
      <c r="D34" s="180">
        <v>0.7</v>
      </c>
      <c r="E34" s="51">
        <f t="shared" si="3"/>
        <v>29103.199999999997</v>
      </c>
      <c r="F34" s="181" t="s">
        <v>209</v>
      </c>
      <c r="G34" s="58">
        <f>IF(F34="Y",0,1)</f>
        <v>1</v>
      </c>
      <c r="H34" s="6"/>
      <c r="I34" s="6"/>
    </row>
    <row r="35" spans="2:10" ht="14">
      <c r="B35" s="3" t="s">
        <v>90</v>
      </c>
      <c r="C35" s="179">
        <v>0</v>
      </c>
      <c r="D35" s="180">
        <v>0.4</v>
      </c>
      <c r="E35" s="51">
        <f t="shared" si="3"/>
        <v>0</v>
      </c>
      <c r="F35" s="181" t="s">
        <v>208</v>
      </c>
      <c r="G35" s="58">
        <f>IF(F35="Y",0,1)</f>
        <v>0</v>
      </c>
      <c r="H35" s="6"/>
      <c r="I35" s="6"/>
    </row>
    <row r="36" spans="2:10" ht="15" customHeight="1">
      <c r="B36" s="5" t="s">
        <v>255</v>
      </c>
      <c r="C36" s="179">
        <f>268115+3646105</f>
        <v>3914220</v>
      </c>
      <c r="D36" s="180">
        <v>0.4</v>
      </c>
      <c r="E36" s="51">
        <f t="shared" si="3"/>
        <v>1565688</v>
      </c>
      <c r="F36" s="6"/>
      <c r="G36" s="6"/>
      <c r="H36" s="6"/>
      <c r="I36" s="6"/>
    </row>
    <row r="37" spans="2:10" ht="14">
      <c r="B37" s="5" t="s">
        <v>256</v>
      </c>
      <c r="C37" s="179">
        <v>0</v>
      </c>
      <c r="D37" s="180">
        <v>0.5</v>
      </c>
      <c r="E37" s="51">
        <f t="shared" si="3"/>
        <v>0</v>
      </c>
      <c r="F37" s="6"/>
      <c r="G37" s="6"/>
      <c r="H37" s="6"/>
      <c r="I37" s="6"/>
    </row>
    <row r="38" spans="2:10" ht="15" customHeight="1">
      <c r="B38" s="5" t="s">
        <v>107</v>
      </c>
      <c r="C38" s="179">
        <v>4980409</v>
      </c>
      <c r="D38" s="180">
        <v>0.3</v>
      </c>
      <c r="E38" s="51">
        <f t="shared" si="3"/>
        <v>1494122.7</v>
      </c>
      <c r="F38" s="6"/>
      <c r="G38" s="6"/>
      <c r="H38" s="6"/>
      <c r="I38" s="6"/>
    </row>
    <row r="39" spans="2:10" ht="15" customHeight="1">
      <c r="B39" s="5" t="s">
        <v>108</v>
      </c>
      <c r="C39" s="179">
        <v>18044</v>
      </c>
      <c r="D39" s="180">
        <v>0.95</v>
      </c>
      <c r="E39" s="51">
        <f t="shared" si="3"/>
        <v>17141.8</v>
      </c>
      <c r="F39" s="6"/>
      <c r="G39" s="6"/>
      <c r="H39" s="6"/>
      <c r="I39" s="6"/>
    </row>
    <row r="40" spans="2:10" ht="15" customHeight="1">
      <c r="B40" s="5" t="s">
        <v>109</v>
      </c>
      <c r="C40" s="179">
        <v>67670</v>
      </c>
      <c r="D40" s="180">
        <v>0</v>
      </c>
      <c r="E40" s="51">
        <f t="shared" si="3"/>
        <v>0</v>
      </c>
      <c r="F40" s="6"/>
      <c r="G40" s="6"/>
      <c r="H40" s="6"/>
      <c r="I40" s="6"/>
    </row>
    <row r="41" spans="2:10" ht="15" customHeight="1">
      <c r="C41" s="6"/>
      <c r="D41" s="6"/>
      <c r="E41" s="6"/>
      <c r="F41" s="6"/>
      <c r="G41" s="6"/>
      <c r="H41" s="6"/>
      <c r="I41" s="6"/>
    </row>
    <row r="42" spans="2:10" ht="14">
      <c r="B42" s="5" t="s">
        <v>110</v>
      </c>
      <c r="C42" s="185">
        <f>SUM(C28:C40)</f>
        <v>9976642</v>
      </c>
      <c r="D42" s="149">
        <f>E42/C42</f>
        <v>0.36186449308294316</v>
      </c>
      <c r="E42" s="51">
        <f>SUM(E28:E40)</f>
        <v>3610192.5</v>
      </c>
      <c r="F42" s="6"/>
      <c r="G42" s="6"/>
      <c r="H42" s="5" t="s">
        <v>111</v>
      </c>
      <c r="I42" s="179">
        <v>5051546</v>
      </c>
      <c r="J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112</v>
      </c>
      <c r="C44" s="182">
        <f>C24+SUM(C28:C29)</f>
        <v>1680978</v>
      </c>
      <c r="D44" s="183">
        <f>IF(E44=0,0,E44/C44)</f>
        <v>0.96321819797760577</v>
      </c>
      <c r="E44" s="51">
        <f>E24+SUM(E28:E29)</f>
        <v>1619148.5999999999</v>
      </c>
      <c r="F44" s="6"/>
      <c r="G44" s="6"/>
      <c r="H44" s="41" t="s">
        <v>266</v>
      </c>
      <c r="I44" s="184">
        <f>E44/(I46-I15-I32)</f>
        <v>0.2242562929695664</v>
      </c>
      <c r="J44" s="13" t="str">
        <f>IF(I44&lt;1,"Liquidity Problem!","")</f>
        <v>Liquidity Problem!</v>
      </c>
    </row>
    <row r="45" spans="2:10" ht="15" customHeight="1" thickBot="1">
      <c r="B45" s="195" t="s">
        <v>113</v>
      </c>
      <c r="C45" s="196">
        <f>C44+(C25-C24)+SUM(C30:C33)</f>
        <v>6807555</v>
      </c>
      <c r="D45" s="197">
        <f>IF(E45=0,0,E45/C45)</f>
        <v>0.86757307138906692</v>
      </c>
      <c r="E45" s="194">
        <f>E44+(E25-E24)+SUM(E30:E33)</f>
        <v>5906051.3999999994</v>
      </c>
      <c r="F45" s="6"/>
      <c r="G45" s="6"/>
      <c r="H45" s="195" t="s">
        <v>270</v>
      </c>
      <c r="I45" s="198">
        <f>E45/$I$46</f>
        <v>0.58267700361797237</v>
      </c>
      <c r="J45" s="13" t="str">
        <f>IF(OR(I45&lt;0.5,C46&lt;I46),"Liquidity Problem!","")</f>
        <v/>
      </c>
    </row>
    <row r="46" spans="2:10" ht="15" customHeight="1" thickTop="1">
      <c r="B46" s="5" t="s">
        <v>114</v>
      </c>
      <c r="C46" s="182">
        <f>C26+C42</f>
        <v>15958734</v>
      </c>
      <c r="D46" s="149">
        <f>E46/C46</f>
        <v>0.57038290756647736</v>
      </c>
      <c r="E46" s="51">
        <f>E26+E42</f>
        <v>9102589.0999999996</v>
      </c>
      <c r="F46" s="6"/>
      <c r="G46" s="6"/>
      <c r="H46" s="5" t="s">
        <v>267</v>
      </c>
      <c r="I46" s="130">
        <f>I26+I42</f>
        <v>10136064</v>
      </c>
      <c r="J46" s="6"/>
    </row>
    <row r="47" spans="2:10" ht="15" customHeight="1">
      <c r="C47" s="6"/>
      <c r="D47" s="6"/>
      <c r="E47" s="6"/>
      <c r="I47" s="6"/>
    </row>
    <row r="48" spans="2:10" ht="14">
      <c r="B48" s="17" t="s">
        <v>115</v>
      </c>
      <c r="C48" s="17"/>
      <c r="D48" s="31"/>
    </row>
    <row r="49" spans="2:9" ht="14">
      <c r="B49" s="105" t="s">
        <v>187</v>
      </c>
      <c r="C49" s="6"/>
      <c r="D49" s="290" t="str">
        <f>IF(E50=D4,"BV of the MI","P/B Approach")</f>
        <v>BV of the MI</v>
      </c>
      <c r="E49" s="6"/>
      <c r="F49" s="6"/>
      <c r="G49" s="6"/>
      <c r="H49" s="6"/>
      <c r="I49" s="6"/>
    </row>
    <row r="50" spans="2:9" ht="14">
      <c r="B50" s="5" t="s">
        <v>186</v>
      </c>
      <c r="C50" s="51">
        <f>D4</f>
        <v>314725</v>
      </c>
      <c r="D50" s="54">
        <f>IF(E50=0, 0,E50/C50)</f>
        <v>1</v>
      </c>
      <c r="E50" s="51">
        <f>MAX(C50,C50*Dashboard!I10)</f>
        <v>314725</v>
      </c>
      <c r="F50" s="6"/>
      <c r="G50" s="6"/>
      <c r="H50" s="6"/>
      <c r="I50" s="95"/>
    </row>
    <row r="51" spans="2:9" ht="15" customHeight="1">
      <c r="C51" s="6"/>
      <c r="D51" s="6"/>
      <c r="E51" s="6"/>
      <c r="F51" s="6"/>
      <c r="G51" s="6"/>
      <c r="H51" s="6"/>
      <c r="I51" s="6"/>
    </row>
    <row r="52" spans="2:9" ht="14.5" thickBot="1">
      <c r="B52" s="44" t="s">
        <v>226</v>
      </c>
      <c r="C52" s="5"/>
      <c r="D52" s="383">
        <f>D53+D54+D55</f>
        <v>7211519</v>
      </c>
      <c r="E52" s="384"/>
      <c r="F52" s="5"/>
      <c r="G52" s="5"/>
      <c r="H52" s="6"/>
      <c r="I52" s="6"/>
    </row>
    <row r="53" spans="2:9" ht="14.5" thickTop="1">
      <c r="B53" s="37" t="s">
        <v>202</v>
      </c>
      <c r="C53" s="6"/>
      <c r="D53" s="354">
        <f>SUM(I11:I13)+SUM(I28:I30)</f>
        <v>7211519</v>
      </c>
      <c r="E53" s="385"/>
      <c r="F53" s="5"/>
      <c r="G53" s="5"/>
      <c r="H53" s="6" t="s">
        <v>268</v>
      </c>
      <c r="I53" s="149">
        <f>D53/I3</f>
        <v>1.309293938120297</v>
      </c>
    </row>
    <row r="54" spans="2:9" ht="14">
      <c r="B54" s="37" t="s">
        <v>117</v>
      </c>
      <c r="C54" s="6"/>
      <c r="D54" s="390">
        <v>0</v>
      </c>
      <c r="E54" s="326"/>
      <c r="F54" s="6" t="s">
        <v>118</v>
      </c>
      <c r="G54" s="6"/>
      <c r="H54" s="6"/>
      <c r="I54" s="6"/>
    </row>
    <row r="55" spans="2:9" ht="12.75" customHeight="1">
      <c r="B55" s="37" t="s">
        <v>116</v>
      </c>
      <c r="C55" s="6"/>
      <c r="D55" s="390">
        <v>0</v>
      </c>
      <c r="E55" s="326"/>
      <c r="F55" s="5" t="s">
        <v>119</v>
      </c>
      <c r="G55" s="5"/>
      <c r="H55" s="6"/>
      <c r="I55" s="6"/>
    </row>
    <row r="56" spans="2:9" ht="15" customHeight="1">
      <c r="C56" s="6"/>
      <c r="D56" s="6"/>
      <c r="E56" s="6"/>
      <c r="F56" s="6"/>
      <c r="G56" s="6"/>
      <c r="H56" s="6"/>
      <c r="I56" s="6"/>
    </row>
    <row r="57" spans="2:9" ht="14">
      <c r="B57" s="44" t="s">
        <v>120</v>
      </c>
      <c r="C57" s="5"/>
      <c r="D57" s="291" t="s">
        <v>358</v>
      </c>
      <c r="E57" s="6"/>
      <c r="F57" s="15"/>
      <c r="G57" s="15"/>
      <c r="H57" s="6"/>
      <c r="I57" s="6"/>
    </row>
    <row r="58" spans="2:9" ht="15" customHeight="1">
      <c r="B58" s="32" t="s">
        <v>203</v>
      </c>
      <c r="C58" s="193">
        <f>C14+C15+(C19*G19)+(C20*G20)+C29+C30+(C31*G31)+(C33*G33)+(C34*G34)+(C35*G35)</f>
        <v>1048689</v>
      </c>
      <c r="D58" s="149">
        <f>IF(E58=0,0,E58/C58)</f>
        <v>0.54723497624176465</v>
      </c>
      <c r="E58" s="130">
        <f>E14+E15+(E19*G19)+(E20*G20)+E29+E30+(E31*G31)+(E33*G33)+(E34*G34)+(E35*G35)</f>
        <v>573879.29999999993</v>
      </c>
      <c r="F58" s="6"/>
      <c r="G58" s="6"/>
      <c r="H58" s="6"/>
      <c r="I58" s="6"/>
    </row>
    <row r="59" spans="2:9" ht="14">
      <c r="B59" s="32" t="s">
        <v>78</v>
      </c>
      <c r="C59" s="193">
        <f>C11+C12+C28</f>
        <v>1474880</v>
      </c>
      <c r="D59" s="54">
        <f>IF(E59=0,0,E59/C59)</f>
        <v>1</v>
      </c>
      <c r="E59" s="182">
        <f>E11+E12+E28</f>
        <v>1474880</v>
      </c>
      <c r="F59" s="6"/>
      <c r="G59" s="6"/>
      <c r="H59" s="6"/>
      <c r="I59" s="6"/>
    </row>
    <row r="60" spans="2:9" ht="14">
      <c r="B60" s="32" t="s">
        <v>121</v>
      </c>
      <c r="C60" s="6"/>
      <c r="D60" s="354">
        <f>((Dashboard!I6*Data!C4)+D52+E50-C58-C59)</f>
        <v>9185505.5600799993</v>
      </c>
      <c r="E60" s="354"/>
      <c r="F60" s="6"/>
      <c r="G60" s="6"/>
      <c r="H60" s="6"/>
      <c r="I60" s="6"/>
    </row>
    <row r="61" spans="2:9" ht="15" customHeight="1">
      <c r="C61" s="6"/>
      <c r="D61" s="6"/>
      <c r="E61" s="6"/>
      <c r="F61" s="6"/>
      <c r="G61" s="6"/>
      <c r="H61" s="6"/>
      <c r="I61" s="6"/>
    </row>
    <row r="62" spans="2:9" ht="15" customHeight="1">
      <c r="B62" s="117" t="s">
        <v>225</v>
      </c>
      <c r="C62" s="6"/>
      <c r="D62" s="6"/>
      <c r="E62" s="6"/>
      <c r="F62" s="6"/>
      <c r="G62" s="6"/>
      <c r="H62" s="6"/>
      <c r="I62" s="6"/>
    </row>
    <row r="63" spans="2:9" ht="15" customHeight="1">
      <c r="B63" s="3" t="s">
        <v>228</v>
      </c>
      <c r="C63" s="6"/>
      <c r="D63" s="388">
        <f>((C26-C11-C12-C14-C15-C16*G16-C19*G19-C20*G20)-I26)/Data!C7</f>
        <v>-8.5235187347397059E-2</v>
      </c>
      <c r="E63" s="389"/>
      <c r="F63" s="6"/>
      <c r="G63" s="6"/>
      <c r="H63" s="6"/>
      <c r="I63" s="6"/>
    </row>
    <row r="64" spans="2:9" ht="15" customHeight="1">
      <c r="B64" s="3" t="s">
        <v>227</v>
      </c>
      <c r="C64" s="6"/>
      <c r="D64" s="386">
        <v>0.34289999999999998</v>
      </c>
      <c r="E64" s="387"/>
      <c r="F64" s="109" t="s">
        <v>214</v>
      </c>
      <c r="G64" s="6"/>
      <c r="H64" s="6"/>
      <c r="I64" s="6"/>
    </row>
    <row r="65" spans="2:9" ht="15" customHeight="1">
      <c r="B65" s="117" t="s">
        <v>229</v>
      </c>
      <c r="C65" s="6"/>
      <c r="D65" s="386">
        <v>0.34289999999999998</v>
      </c>
      <c r="E65" s="387"/>
      <c r="F65" s="6"/>
      <c r="G65" s="6"/>
      <c r="H65" s="6"/>
      <c r="I65" s="6"/>
    </row>
  </sheetData>
  <mergeCells count="8">
    <mergeCell ref="D52:E52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940"/>
  <sheetViews>
    <sheetView showGridLines="0" zoomScaleNormal="100" zoomScalePageLayoutView="80" workbookViewId="0">
      <selection activeCell="G23" sqref="G23:I23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213</v>
      </c>
      <c r="C2" s="56"/>
      <c r="D2" s="56"/>
      <c r="E2" s="56"/>
      <c r="F2" s="115" t="s">
        <v>223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'Val Models'!B3</f>
        <v>(Numbers in 1000CNY)</v>
      </c>
      <c r="C3" s="199">
        <f>EOMONTH(EDATE(D3,-12),0)</f>
        <v>43830</v>
      </c>
      <c r="D3" s="199">
        <f>EOMONTH(EDATE(E3,-12),0)</f>
        <v>44196</v>
      </c>
      <c r="E3" s="199">
        <f>EOMONTH(EDATE(F3,-12),0)</f>
        <v>44561</v>
      </c>
      <c r="F3" s="199">
        <f>Dashboard!E6</f>
        <v>44926</v>
      </c>
      <c r="G3" s="199">
        <f>EOMONTH(EDATE(F3,12),0)</f>
        <v>45291</v>
      </c>
      <c r="H3" s="199" t="str">
        <f>IF(H8="","",EOMONTH(EDATE(G3,12),0))</f>
        <v/>
      </c>
      <c r="I3" s="199" t="str">
        <f>IF(I15="","",EOMONTH(EDATE(H3,12),0))</f>
        <v/>
      </c>
      <c r="K3" s="42" t="s">
        <v>122</v>
      </c>
    </row>
    <row r="4" spans="1:12" ht="15.75" customHeight="1">
      <c r="B4" s="118" t="s">
        <v>380</v>
      </c>
      <c r="C4" s="210">
        <f>C7*62%</f>
        <v>4060143.16</v>
      </c>
      <c r="D4" s="210">
        <f>D7*58%</f>
        <v>3735070.6599999997</v>
      </c>
      <c r="E4" s="210">
        <f>E7*66.9%</f>
        <v>5118080.8050000006</v>
      </c>
      <c r="F4" s="210">
        <f>F7*75.9%</f>
        <v>5725029.9809999997</v>
      </c>
      <c r="G4" s="210"/>
      <c r="H4" s="211"/>
      <c r="I4" s="211"/>
      <c r="J4" s="6"/>
      <c r="K4" s="43"/>
      <c r="L4" s="36"/>
    </row>
    <row r="5" spans="1:12" ht="15.75" customHeight="1">
      <c r="B5" s="118" t="s">
        <v>381</v>
      </c>
      <c r="C5" s="201">
        <f>C7*36%</f>
        <v>2357502.48</v>
      </c>
      <c r="D5" s="201">
        <f>D7*39.6%</f>
        <v>2550151.6920000003</v>
      </c>
      <c r="E5" s="201">
        <f>E7*29%</f>
        <v>2218600.0499999998</v>
      </c>
      <c r="F5" s="201">
        <f>F7*18.7%</f>
        <v>1410514.6329999999</v>
      </c>
      <c r="G5" s="201"/>
      <c r="H5" s="202"/>
      <c r="I5" s="202"/>
      <c r="J5" s="6"/>
      <c r="K5" s="43"/>
      <c r="L5" s="36"/>
    </row>
    <row r="6" spans="1:12" ht="15.75" customHeight="1">
      <c r="B6" s="118" t="s">
        <v>367</v>
      </c>
      <c r="C6" s="201">
        <f>C7*2%</f>
        <v>130972.36</v>
      </c>
      <c r="D6" s="201">
        <f>D7*2.4%</f>
        <v>154554.64800000002</v>
      </c>
      <c r="E6" s="201">
        <f>E7*4.1%</f>
        <v>313664.14499999996</v>
      </c>
      <c r="F6" s="201">
        <f>F7*5.4%</f>
        <v>407314.38600000006</v>
      </c>
      <c r="G6" s="201"/>
      <c r="H6" s="202"/>
      <c r="I6" s="202"/>
      <c r="J6" s="6"/>
      <c r="K6" s="43"/>
      <c r="L6" s="36"/>
    </row>
    <row r="7" spans="1:12" ht="15.75" customHeight="1">
      <c r="B7" s="5" t="s">
        <v>123</v>
      </c>
      <c r="C7" s="203">
        <f>Data!F7</f>
        <v>6548618</v>
      </c>
      <c r="D7" s="203">
        <f>Data!E7</f>
        <v>6439777</v>
      </c>
      <c r="E7" s="203">
        <f>Data!D7</f>
        <v>7650345</v>
      </c>
      <c r="F7" s="203">
        <f>Data!C7</f>
        <v>7542859</v>
      </c>
      <c r="G7" s="205">
        <f>F7*1.2</f>
        <v>9051430.7999999989</v>
      </c>
      <c r="H7" s="205"/>
      <c r="I7" s="206"/>
      <c r="J7" s="6"/>
      <c r="K7" s="43"/>
      <c r="L7" s="36"/>
    </row>
    <row r="8" spans="1:12" ht="15.75" customHeight="1">
      <c r="B8" s="14" t="s">
        <v>392</v>
      </c>
      <c r="C8" s="294">
        <f>C7/5113254-1</f>
        <v>0.280714394395428</v>
      </c>
      <c r="D8" s="171">
        <f>D7/C7-1</f>
        <v>-1.6620453353669462E-2</v>
      </c>
      <c r="E8" s="171">
        <f>E7/D7-1</f>
        <v>0.18798290686152641</v>
      </c>
      <c r="F8" s="171">
        <f>Data!C8</f>
        <v>-1.4049823896830849E-2</v>
      </c>
      <c r="G8" s="149">
        <f>G7/F7-1</f>
        <v>0.19999999999999996</v>
      </c>
      <c r="H8" s="149"/>
      <c r="I8" s="180"/>
      <c r="J8" s="6"/>
      <c r="K8" s="43"/>
      <c r="L8" s="36"/>
    </row>
    <row r="9" spans="1:12" ht="15.75" customHeight="1">
      <c r="B9" s="8" t="s">
        <v>124</v>
      </c>
      <c r="C9" s="207">
        <f>Data!F9</f>
        <v>4844726</v>
      </c>
      <c r="D9" s="207">
        <f>Data!E9</f>
        <v>4653652</v>
      </c>
      <c r="E9" s="207">
        <f>Data!D9</f>
        <v>5871226</v>
      </c>
      <c r="F9" s="207">
        <f>Data!C9</f>
        <v>6149950</v>
      </c>
      <c r="G9" s="208">
        <f>G7*(1-G10)</f>
        <v>7379939.9999999991</v>
      </c>
      <c r="H9" s="209" t="str">
        <f>IF(H7="","",H7*(1-H10))</f>
        <v/>
      </c>
      <c r="I9" s="209" t="str">
        <f>IF(I7="","",I7*(1-I10))</f>
        <v/>
      </c>
      <c r="J9" s="6"/>
      <c r="K9" s="77"/>
      <c r="L9" s="1"/>
    </row>
    <row r="10" spans="1:12" ht="15.75" customHeight="1">
      <c r="B10" s="14" t="s">
        <v>44</v>
      </c>
      <c r="C10" s="96">
        <f t="shared" ref="C10:E10" si="0">(C7-C9)/C7</f>
        <v>0.26019108153811993</v>
      </c>
      <c r="D10" s="96">
        <f t="shared" si="0"/>
        <v>0.27735820665839828</v>
      </c>
      <c r="E10" s="96">
        <f t="shared" si="0"/>
        <v>0.23255408743004399</v>
      </c>
      <c r="F10" s="96">
        <f>(F7-F9)/F7</f>
        <v>0.18466592044210292</v>
      </c>
      <c r="G10" s="213">
        <f>F10</f>
        <v>0.18466592044210292</v>
      </c>
      <c r="H10" s="213"/>
      <c r="I10" s="213"/>
      <c r="J10" s="6"/>
      <c r="K10" s="43"/>
    </row>
    <row r="11" spans="1:12" ht="15.75" customHeight="1">
      <c r="B11" s="5" t="s">
        <v>368</v>
      </c>
      <c r="C11" s="51">
        <f>C7-C9</f>
        <v>1703892</v>
      </c>
      <c r="D11" s="51">
        <f t="shared" ref="D11:E11" si="1">D7-D9</f>
        <v>1786125</v>
      </c>
      <c r="E11" s="51">
        <f t="shared" si="1"/>
        <v>1779119</v>
      </c>
      <c r="F11" s="51">
        <f>F7-F9</f>
        <v>1392909</v>
      </c>
      <c r="G11" s="51">
        <f>G7-G9</f>
        <v>1671490.7999999998</v>
      </c>
      <c r="H11" s="51" t="str">
        <f>IF(H8="","",H7-H9)</f>
        <v/>
      </c>
      <c r="I11" s="51" t="str">
        <f>IF(I8="","",I7-I9)</f>
        <v/>
      </c>
      <c r="J11" s="6"/>
      <c r="K11" s="43"/>
    </row>
    <row r="12" spans="1:12" ht="15.75" customHeight="1">
      <c r="B12" s="14" t="s">
        <v>46</v>
      </c>
      <c r="C12" s="54">
        <f>C13/C7</f>
        <v>3.8784519115330901E-2</v>
      </c>
      <c r="D12" s="54">
        <f t="shared" ref="D12:E12" si="2">D13/D7</f>
        <v>3.9250427460453985E-2</v>
      </c>
      <c r="E12" s="54">
        <f t="shared" si="2"/>
        <v>3.5929490761527745E-2</v>
      </c>
      <c r="F12" s="54">
        <f>F13/F7</f>
        <v>4.1207982278337697E-2</v>
      </c>
      <c r="G12" s="212">
        <f>F12</f>
        <v>4.1207982278337697E-2</v>
      </c>
      <c r="H12" s="180"/>
      <c r="I12" s="180"/>
      <c r="J12" s="6"/>
      <c r="K12" s="43"/>
    </row>
    <row r="13" spans="1:12" ht="15.75" customHeight="1">
      <c r="B13" s="8" t="s">
        <v>125</v>
      </c>
      <c r="C13" s="203">
        <f>Data!F11</f>
        <v>253985</v>
      </c>
      <c r="D13" s="203">
        <f>Data!E11</f>
        <v>252764</v>
      </c>
      <c r="E13" s="203">
        <f>Data!D11</f>
        <v>274873</v>
      </c>
      <c r="F13" s="203">
        <f>Data!C11</f>
        <v>310826</v>
      </c>
      <c r="G13" s="161">
        <f>G7*G12</f>
        <v>372991.19999999995</v>
      </c>
      <c r="H13" s="161"/>
      <c r="I13" s="161"/>
      <c r="J13" s="6"/>
      <c r="K13" s="43"/>
    </row>
    <row r="14" spans="1:12" ht="15.75" customHeight="1">
      <c r="B14" s="14" t="s">
        <v>47</v>
      </c>
      <c r="C14" s="166">
        <f t="shared" ref="C14:E14" si="3">C16/C7</f>
        <v>0.22140656242278905</v>
      </c>
      <c r="D14" s="166">
        <f t="shared" si="3"/>
        <v>0.23810777919794426</v>
      </c>
      <c r="E14" s="166">
        <f t="shared" si="3"/>
        <v>0.19662459666851625</v>
      </c>
      <c r="F14" s="166">
        <f>F16/F7</f>
        <v>0.14345793816376523</v>
      </c>
      <c r="G14" s="166">
        <f>G16/G7</f>
        <v>0.14345793816376523</v>
      </c>
      <c r="H14" s="166" t="str">
        <f>IF(H8="","",H16/H7)</f>
        <v/>
      </c>
      <c r="I14" s="166" t="str">
        <f>IF(I8="","",I16/I7)</f>
        <v/>
      </c>
      <c r="J14" s="6"/>
      <c r="K14" s="43"/>
      <c r="L14" s="36"/>
    </row>
    <row r="15" spans="1:12" ht="15.75" customHeight="1">
      <c r="B15" s="14" t="s">
        <v>126</v>
      </c>
      <c r="C15" s="294"/>
      <c r="D15" s="171">
        <f t="shared" ref="D15:E15" si="4">D16/C16-1</f>
        <v>5.7558174420842212E-2</v>
      </c>
      <c r="E15" s="171">
        <f t="shared" si="4"/>
        <v>-1.8987700874092961E-2</v>
      </c>
      <c r="F15" s="171">
        <f>F16/E16-1</f>
        <v>-0.28064758024950709</v>
      </c>
      <c r="G15" s="149">
        <f>IF(ABS(F16+G16)=ABS(F16)+ABS(G16),IF(G16&lt;0,-1,1)*(G16-F16)/F16,"Turn")</f>
        <v>0.19999999999999987</v>
      </c>
      <c r="H15" s="149" t="str">
        <f>IF(H8="","",IF(ABS(G16+H16)=ABS(G16)+ABS(H16),IF(H16&lt;0,-1,1)*(H16-G16)/G16,"Turn"))</f>
        <v/>
      </c>
      <c r="I15" s="149" t="str">
        <f>IF(I8="","",IF(ABS(H16+I16)=ABS(H16)+ABS(I16),IF(I16&lt;0,-1,1)*(I16-H16)/H16,"Turn"))</f>
        <v/>
      </c>
      <c r="J15" s="6"/>
      <c r="K15" s="45"/>
      <c r="L15" s="46"/>
    </row>
    <row r="16" spans="1:12" ht="15.75" customHeight="1">
      <c r="B16" s="5" t="s">
        <v>212</v>
      </c>
      <c r="C16" s="154">
        <f t="shared" ref="C16:D16" si="5">C11-C13</f>
        <v>1449907</v>
      </c>
      <c r="D16" s="154">
        <f t="shared" si="5"/>
        <v>1533361</v>
      </c>
      <c r="E16" s="154">
        <f>E11-E13</f>
        <v>1504246</v>
      </c>
      <c r="F16" s="154">
        <f>F11-F13</f>
        <v>1082083</v>
      </c>
      <c r="G16" s="154">
        <f>G11-G13</f>
        <v>1298499.5999999999</v>
      </c>
      <c r="H16" s="154" t="str">
        <f>IF(H8="","",H11-H13)</f>
        <v/>
      </c>
      <c r="I16" s="154" t="str">
        <f>IF(I8="","",I11-I13)</f>
        <v/>
      </c>
      <c r="J16" s="6"/>
      <c r="K16" s="47"/>
      <c r="L16" s="35"/>
    </row>
    <row r="17" spans="1:11" ht="15.75" customHeight="1">
      <c r="B17" s="214" t="s">
        <v>127</v>
      </c>
      <c r="C17" s="293"/>
      <c r="D17" s="293"/>
      <c r="E17" s="293"/>
      <c r="F17" s="216">
        <v>0.25</v>
      </c>
      <c r="G17" s="166">
        <f>IF(G16="","",F17)</f>
        <v>0.25</v>
      </c>
      <c r="H17" s="166" t="str">
        <f>IF(H16="","",G17)</f>
        <v/>
      </c>
      <c r="I17" s="166" t="str">
        <f>IF(I16="","",H17)</f>
        <v/>
      </c>
      <c r="K17" s="43"/>
    </row>
    <row r="18" spans="1:11" ht="15.75" customHeight="1">
      <c r="B18" s="14" t="s">
        <v>258</v>
      </c>
      <c r="C18" s="294"/>
      <c r="D18" s="294"/>
      <c r="E18" s="294"/>
      <c r="F18" s="171">
        <f>F19/F9</f>
        <v>0.13196241432857178</v>
      </c>
      <c r="G18" s="149">
        <f>G19/G9</f>
        <v>0.13196241432857178</v>
      </c>
      <c r="H18" s="149" t="str">
        <f>IF(H9="","",H19/H9)</f>
        <v/>
      </c>
      <c r="I18" s="149" t="str">
        <f>IF(I9="","",I19/I9)</f>
        <v/>
      </c>
    </row>
    <row r="19" spans="1:11" ht="15.75" customHeight="1">
      <c r="B19" s="85" t="s">
        <v>69</v>
      </c>
      <c r="C19" s="295"/>
      <c r="D19" s="295"/>
      <c r="E19" s="295"/>
      <c r="F19" s="51">
        <f>IF(F16&lt;=0,F16,F16*(1-F17))</f>
        <v>811562.25</v>
      </c>
      <c r="G19" s="215">
        <f>IF(G16="","",IF(G16&lt;=0,G16,G16*(1-G17)))</f>
        <v>973874.7</v>
      </c>
      <c r="H19" s="215" t="str">
        <f>IF(H16="","",IF(H16&lt;=0,H16,H16*(1-H17)))</f>
        <v/>
      </c>
      <c r="I19" s="215" t="str">
        <f>IF(I16="","",IF(I16&lt;=0,I16,I16*(1-I17)))</f>
        <v/>
      </c>
    </row>
    <row r="20" spans="1:11" ht="15.75" customHeight="1">
      <c r="B20" s="14" t="s">
        <v>350</v>
      </c>
      <c r="C20" s="296"/>
      <c r="D20" s="296"/>
      <c r="E20" s="296"/>
      <c r="F20" s="217">
        <f>Data!C35</f>
        <v>-36856.949399999998</v>
      </c>
      <c r="G20" s="218">
        <f>IF(G8&lt;=0,0,(G7-F7)*Asset_Model!$D$64)</f>
        <v>517289.2702199996</v>
      </c>
      <c r="H20" s="218" t="str">
        <f>IF(H7="","",IF(H8&lt;=0,0,(H7-G7)*Asset_Model!$D$64))</f>
        <v/>
      </c>
      <c r="I20" s="218" t="str">
        <f>IF(I7="","",IF(I8&lt;=0,0,(I7-H7)*Asset_Model!$D$64))</f>
        <v/>
      </c>
    </row>
    <row r="21" spans="1:11" ht="15.75" customHeight="1">
      <c r="B21" s="14" t="s">
        <v>352</v>
      </c>
      <c r="C21" s="297"/>
      <c r="D21" s="297"/>
      <c r="E21" s="297"/>
      <c r="F21" s="95">
        <f>Data!C33</f>
        <v>514000</v>
      </c>
      <c r="G21" s="161">
        <f>G7*4%</f>
        <v>362057.23199999996</v>
      </c>
      <c r="H21" s="161"/>
      <c r="I21" s="161" t="str">
        <f>IF(I14="","",IF(ABS(H22+I22)=ABS(H22)+ABS(I22),IF(I22&lt;0,-1,1)*(I22-H22)/H22,"Turn"))</f>
        <v/>
      </c>
    </row>
    <row r="22" spans="1:11" ht="15.75" customHeight="1">
      <c r="B22" s="85" t="s">
        <v>355</v>
      </c>
      <c r="C22" s="298"/>
      <c r="D22" s="298"/>
      <c r="E22" s="298"/>
      <c r="F22" s="219">
        <f>F20+F21</f>
        <v>477143.05060000002</v>
      </c>
      <c r="G22" s="219">
        <f>IF(G14="","",G20+G21)</f>
        <v>879346.50221999956</v>
      </c>
      <c r="H22" s="219" t="str">
        <f>IF(H14="","",H20+H21)</f>
        <v/>
      </c>
      <c r="I22" s="219" t="str">
        <f>IF(I14="","",I20+I21)</f>
        <v/>
      </c>
    </row>
    <row r="23" spans="1:11" ht="15.75" customHeight="1">
      <c r="B23" s="14" t="s">
        <v>343</v>
      </c>
      <c r="C23" s="294"/>
      <c r="D23" s="294"/>
      <c r="E23" s="294"/>
      <c r="F23" s="171">
        <f>AVERAGE(Data!C54:E54)</f>
        <v>0.27423907349124521</v>
      </c>
      <c r="G23" s="391"/>
      <c r="H23" s="392"/>
      <c r="I23" s="393"/>
    </row>
    <row r="24" spans="1:11" ht="15.75" customHeight="1">
      <c r="B24" s="84" t="s">
        <v>128</v>
      </c>
      <c r="C24" s="298"/>
      <c r="D24" s="298"/>
      <c r="E24" s="298"/>
      <c r="F24" s="219">
        <f>F19-F22</f>
        <v>334419.19939999998</v>
      </c>
      <c r="G24" s="219">
        <f>G19-G22</f>
        <v>94528.197780000395</v>
      </c>
      <c r="H24" s="219" t="str">
        <f>IF(H19="","",H19-H22)</f>
        <v/>
      </c>
      <c r="I24" s="219" t="str">
        <f>IF(I19="","",I19-I22)</f>
        <v/>
      </c>
    </row>
    <row r="25" spans="1:11" ht="15.75" customHeight="1"/>
    <row r="26" spans="1:11" ht="15.75" customHeight="1">
      <c r="A26" s="4"/>
      <c r="B26" s="56" t="s">
        <v>374</v>
      </c>
      <c r="C26" s="299">
        <f>C3</f>
        <v>43830</v>
      </c>
      <c r="D26" s="299">
        <f t="shared" ref="D26:I26" si="6">D3</f>
        <v>44196</v>
      </c>
      <c r="E26" s="299">
        <f t="shared" si="6"/>
        <v>44561</v>
      </c>
      <c r="F26" s="299">
        <f t="shared" si="6"/>
        <v>44926</v>
      </c>
      <c r="G26" s="299">
        <f t="shared" si="6"/>
        <v>45291</v>
      </c>
      <c r="H26" s="299" t="str">
        <f t="shared" si="6"/>
        <v/>
      </c>
      <c r="I26" s="299" t="str">
        <f t="shared" si="6"/>
        <v/>
      </c>
      <c r="J26" s="12"/>
      <c r="K26" s="12"/>
    </row>
    <row r="27" spans="1:11" ht="15.75" customHeight="1"/>
    <row r="28" spans="1:11" ht="15.75" customHeight="1">
      <c r="B28" s="117" t="s">
        <v>378</v>
      </c>
    </row>
    <row r="29" spans="1:11" ht="15.75" customHeight="1"/>
    <row r="30" spans="1:11" ht="15.75" customHeight="1">
      <c r="B30" s="307" t="str">
        <f>"a. "&amp;B4</f>
        <v>a. 销气收入</v>
      </c>
      <c r="C30" s="308">
        <f>C4</f>
        <v>4060143.16</v>
      </c>
      <c r="D30" s="308">
        <f>D4</f>
        <v>3735070.6599999997</v>
      </c>
      <c r="E30" s="308">
        <f>E4</f>
        <v>5118080.8050000006</v>
      </c>
      <c r="F30" s="308">
        <f>F4</f>
        <v>5725029.9809999997</v>
      </c>
      <c r="G30" s="308"/>
      <c r="H30" s="308"/>
      <c r="I30" s="307"/>
    </row>
    <row r="31" spans="1:11" ht="15.75" customHeight="1">
      <c r="B31" s="87" t="s">
        <v>382</v>
      </c>
      <c r="C31" s="301">
        <f>C$30*C35</f>
        <v>734885.91196000006</v>
      </c>
      <c r="D31" s="301">
        <f t="shared" ref="D31:F31" si="7">D$30*D35</f>
        <v>877741.60509999993</v>
      </c>
      <c r="E31" s="301">
        <f t="shared" si="7"/>
        <v>1013379.9993900001</v>
      </c>
      <c r="F31" s="301">
        <f t="shared" si="7"/>
        <v>1196531.2660289998</v>
      </c>
      <c r="G31" s="301"/>
      <c r="H31" s="301"/>
      <c r="I31" s="301"/>
    </row>
    <row r="32" spans="1:11" ht="15.75" customHeight="1">
      <c r="B32" s="87" t="s">
        <v>383</v>
      </c>
      <c r="C32" s="301">
        <f t="shared" ref="C32:C34" si="8">$C$30*C36</f>
        <v>1437290.6786400001</v>
      </c>
      <c r="D32" s="301">
        <f t="shared" ref="D32:F32" si="9">D$30*D36</f>
        <v>1960912.0965</v>
      </c>
      <c r="E32" s="301">
        <f t="shared" si="9"/>
        <v>2799590.2003350006</v>
      </c>
      <c r="F32" s="301">
        <f t="shared" si="9"/>
        <v>3320517.3889799998</v>
      </c>
      <c r="G32" s="301"/>
      <c r="H32" s="301"/>
      <c r="I32" s="301"/>
    </row>
    <row r="33" spans="2:9" ht="15.75" customHeight="1">
      <c r="B33" s="87" t="s">
        <v>369</v>
      </c>
      <c r="C33" s="301">
        <f t="shared" si="8"/>
        <v>434435.31812000001</v>
      </c>
      <c r="D33" s="301">
        <f t="shared" ref="D33:F33" si="10">D$30*D37</f>
        <v>224104.23959999997</v>
      </c>
      <c r="E33" s="301">
        <f t="shared" si="10"/>
        <v>332675.25232500007</v>
      </c>
      <c r="F33" s="301">
        <f t="shared" si="10"/>
        <v>383577.00872699998</v>
      </c>
      <c r="G33" s="301"/>
      <c r="H33" s="301"/>
      <c r="I33" s="301"/>
    </row>
    <row r="34" spans="2:9" ht="15.75" customHeight="1">
      <c r="B34" s="87" t="s">
        <v>370</v>
      </c>
      <c r="C34" s="301">
        <f t="shared" si="8"/>
        <v>1453531.25128</v>
      </c>
      <c r="D34" s="301">
        <f t="shared" ref="D34:F34" si="11">D$30*D38</f>
        <v>672312.71879999992</v>
      </c>
      <c r="E34" s="301">
        <f t="shared" si="11"/>
        <v>972435.35295000009</v>
      </c>
      <c r="F34" s="301">
        <f t="shared" si="11"/>
        <v>824404.31726399984</v>
      </c>
      <c r="G34" s="301"/>
      <c r="H34" s="301"/>
      <c r="I34" s="301"/>
    </row>
    <row r="35" spans="2:9" ht="15.75" customHeight="1">
      <c r="B35" s="292" t="s">
        <v>382</v>
      </c>
      <c r="C35" s="306">
        <v>0.18099999999999999</v>
      </c>
      <c r="D35" s="306">
        <v>0.23499999999999999</v>
      </c>
      <c r="E35" s="306">
        <v>0.19800000000000001</v>
      </c>
      <c r="F35" s="306">
        <v>0.20899999999999999</v>
      </c>
      <c r="G35" s="306"/>
      <c r="H35" s="306"/>
      <c r="I35" s="306"/>
    </row>
    <row r="36" spans="2:9" ht="15.75" customHeight="1">
      <c r="B36" s="292" t="s">
        <v>383</v>
      </c>
      <c r="C36" s="306">
        <v>0.35399999999999998</v>
      </c>
      <c r="D36" s="306">
        <v>0.52500000000000002</v>
      </c>
      <c r="E36" s="306">
        <v>0.54700000000000004</v>
      </c>
      <c r="F36" s="306">
        <v>0.57999999999999996</v>
      </c>
      <c r="G36" s="306"/>
      <c r="H36" s="306"/>
      <c r="I36" s="306"/>
    </row>
    <row r="37" spans="2:9" ht="15.75" customHeight="1">
      <c r="B37" s="292" t="s">
        <v>369</v>
      </c>
      <c r="C37" s="306">
        <v>0.107</v>
      </c>
      <c r="D37" s="306">
        <v>0.06</v>
      </c>
      <c r="E37" s="306">
        <v>6.5000000000000002E-2</v>
      </c>
      <c r="F37" s="306">
        <v>6.7000000000000004E-2</v>
      </c>
      <c r="G37" s="306"/>
      <c r="H37" s="306"/>
      <c r="I37" s="306"/>
    </row>
    <row r="38" spans="2:9" ht="15.75" customHeight="1">
      <c r="B38" s="292" t="s">
        <v>370</v>
      </c>
      <c r="C38" s="306">
        <v>0.35799999999999998</v>
      </c>
      <c r="D38" s="306">
        <v>0.18</v>
      </c>
      <c r="E38" s="306">
        <v>0.19</v>
      </c>
      <c r="F38" s="306">
        <v>0.14399999999999999</v>
      </c>
      <c r="G38" s="306"/>
      <c r="H38" s="306"/>
      <c r="I38" s="306"/>
    </row>
    <row r="39" spans="2:9" ht="15.75" customHeight="1">
      <c r="B39" s="87"/>
      <c r="C39" s="301"/>
      <c r="D39" s="301"/>
      <c r="E39" s="301"/>
      <c r="F39" s="301"/>
      <c r="G39" s="301"/>
      <c r="H39" s="301"/>
      <c r="I39" s="301"/>
    </row>
    <row r="40" spans="2:9" ht="15.75" customHeight="1">
      <c r="B40" s="120"/>
      <c r="C40" s="302"/>
      <c r="D40" s="302"/>
      <c r="E40" s="302"/>
      <c r="F40" s="302"/>
      <c r="G40" s="302"/>
      <c r="H40" s="302"/>
      <c r="I40" s="120"/>
    </row>
    <row r="41" spans="2:9" ht="15.75" customHeight="1">
      <c r="B41" s="87" t="s">
        <v>384</v>
      </c>
      <c r="C41" s="308">
        <v>156640</v>
      </c>
      <c r="D41" s="308">
        <v>151461</v>
      </c>
      <c r="E41" s="308">
        <v>194238</v>
      </c>
      <c r="F41" s="308">
        <v>191177</v>
      </c>
      <c r="G41" s="308"/>
      <c r="H41" s="308"/>
      <c r="I41" s="308"/>
    </row>
    <row r="42" spans="2:9" ht="15.75" customHeight="1">
      <c r="B42" s="87" t="s">
        <v>382</v>
      </c>
      <c r="C42" s="301">
        <f>C$41*C46</f>
        <v>31328</v>
      </c>
      <c r="D42" s="301">
        <f t="shared" ref="D42:F42" si="12">D$41*D46</f>
        <v>37562.328000000001</v>
      </c>
      <c r="E42" s="301">
        <f t="shared" si="12"/>
        <v>44674.740000000005</v>
      </c>
      <c r="F42" s="301">
        <f t="shared" si="12"/>
        <v>52382.498000000007</v>
      </c>
      <c r="G42" s="301"/>
      <c r="H42" s="301"/>
      <c r="I42" s="301"/>
    </row>
    <row r="43" spans="2:9" ht="15.75" customHeight="1">
      <c r="B43" s="87" t="s">
        <v>383</v>
      </c>
      <c r="C43" s="301">
        <f t="shared" ref="C43:F45" si="13">C$41*C47</f>
        <v>51377.920000000006</v>
      </c>
      <c r="D43" s="301">
        <f t="shared" si="13"/>
        <v>76487.805000000008</v>
      </c>
      <c r="E43" s="301">
        <f t="shared" si="13"/>
        <v>105082.758</v>
      </c>
      <c r="F43" s="301">
        <f t="shared" si="13"/>
        <v>106294.41200000001</v>
      </c>
      <c r="G43" s="301"/>
      <c r="H43" s="301"/>
      <c r="I43" s="301"/>
    </row>
    <row r="44" spans="2:9" ht="15.75" customHeight="1">
      <c r="B44" s="87" t="s">
        <v>369</v>
      </c>
      <c r="C44" s="301">
        <f t="shared" si="13"/>
        <v>15664</v>
      </c>
      <c r="D44" s="301">
        <f t="shared" si="13"/>
        <v>7724.5109999999995</v>
      </c>
      <c r="E44" s="301">
        <f t="shared" si="13"/>
        <v>9129.1859999999997</v>
      </c>
      <c r="F44" s="301">
        <f t="shared" si="13"/>
        <v>7838.2570000000005</v>
      </c>
      <c r="G44" s="301"/>
      <c r="H44" s="301"/>
      <c r="I44" s="301"/>
    </row>
    <row r="45" spans="2:9" ht="15.75" customHeight="1">
      <c r="B45" s="87" t="s">
        <v>370</v>
      </c>
      <c r="C45" s="301">
        <f t="shared" si="13"/>
        <v>58270.080000000002</v>
      </c>
      <c r="D45" s="301">
        <f t="shared" si="13"/>
        <v>29686.356</v>
      </c>
      <c r="E45" s="301">
        <f t="shared" si="13"/>
        <v>35351.315999999999</v>
      </c>
      <c r="F45" s="301">
        <f t="shared" si="13"/>
        <v>24661.833000000002</v>
      </c>
      <c r="G45" s="301"/>
      <c r="H45" s="301"/>
      <c r="I45" s="301"/>
    </row>
    <row r="46" spans="2:9" ht="15.75" customHeight="1">
      <c r="B46" s="292" t="s">
        <v>382</v>
      </c>
      <c r="C46" s="306">
        <v>0.2</v>
      </c>
      <c r="D46" s="306">
        <v>0.248</v>
      </c>
      <c r="E46" s="306">
        <v>0.23</v>
      </c>
      <c r="F46" s="306">
        <v>0.27400000000000002</v>
      </c>
      <c r="G46" s="306"/>
      <c r="H46" s="306"/>
      <c r="I46" s="306"/>
    </row>
    <row r="47" spans="2:9" ht="15.75" customHeight="1">
      <c r="B47" s="292" t="s">
        <v>383</v>
      </c>
      <c r="C47" s="306">
        <v>0.32800000000000001</v>
      </c>
      <c r="D47" s="306">
        <v>0.505</v>
      </c>
      <c r="E47" s="306">
        <v>0.54100000000000004</v>
      </c>
      <c r="F47" s="306">
        <v>0.55600000000000005</v>
      </c>
      <c r="G47" s="306"/>
      <c r="H47" s="306"/>
      <c r="I47" s="306"/>
    </row>
    <row r="48" spans="2:9" ht="15.75" customHeight="1">
      <c r="B48" s="292" t="s">
        <v>369</v>
      </c>
      <c r="C48" s="306">
        <v>0.1</v>
      </c>
      <c r="D48" s="306">
        <v>5.0999999999999997E-2</v>
      </c>
      <c r="E48" s="306">
        <v>4.7E-2</v>
      </c>
      <c r="F48" s="306">
        <v>4.1000000000000002E-2</v>
      </c>
      <c r="G48" s="306"/>
      <c r="H48" s="306"/>
      <c r="I48" s="306"/>
    </row>
    <row r="49" spans="2:9" ht="15.75" customHeight="1">
      <c r="B49" s="292" t="s">
        <v>370</v>
      </c>
      <c r="C49" s="306">
        <v>0.372</v>
      </c>
      <c r="D49" s="306">
        <v>0.19600000000000001</v>
      </c>
      <c r="E49" s="306">
        <v>0.182</v>
      </c>
      <c r="F49" s="306">
        <v>0.129</v>
      </c>
      <c r="G49" s="306"/>
      <c r="H49" s="306"/>
      <c r="I49" s="306"/>
    </row>
    <row r="50" spans="2:9" ht="15.75" customHeight="1">
      <c r="B50" s="292"/>
      <c r="C50" s="306"/>
      <c r="D50" s="306"/>
      <c r="E50" s="306"/>
      <c r="F50" s="306"/>
      <c r="G50" s="306"/>
      <c r="H50" s="306"/>
      <c r="I50" s="306"/>
    </row>
    <row r="51" spans="2:9" ht="15.75" customHeight="1">
      <c r="B51" s="87" t="s">
        <v>379</v>
      </c>
      <c r="C51" s="305">
        <f>C30*1000/(C41*10000)</f>
        <v>2.5920219356486212</v>
      </c>
      <c r="D51" s="305">
        <f>D30*1000/(D41*10000)</f>
        <v>2.4660279940050569</v>
      </c>
      <c r="E51" s="305">
        <f>E30*1000/(E41*10000)</f>
        <v>2.6349534102492824</v>
      </c>
      <c r="F51" s="305">
        <f>F30*1000/(F41*10000)</f>
        <v>2.9946227741830871</v>
      </c>
      <c r="G51" s="300"/>
      <c r="H51" s="300"/>
      <c r="I51" s="300"/>
    </row>
    <row r="52" spans="2:9" ht="15.75" customHeight="1">
      <c r="B52" s="292" t="s">
        <v>382</v>
      </c>
      <c r="C52" s="300">
        <f t="shared" ref="C52:F55" si="14">(C31*1000)/(C$41*C46*10000)</f>
        <v>2.3457798517620021</v>
      </c>
      <c r="D52" s="300">
        <f t="shared" si="14"/>
        <v>2.3367603975451146</v>
      </c>
      <c r="E52" s="300">
        <f t="shared" si="14"/>
        <v>2.2683511966493817</v>
      </c>
      <c r="F52" s="300">
        <f t="shared" si="14"/>
        <v>2.2842195613294343</v>
      </c>
      <c r="G52" s="300"/>
      <c r="H52" s="300"/>
      <c r="I52" s="300"/>
    </row>
    <row r="53" spans="2:9" ht="15.75" customHeight="1">
      <c r="B53" s="292" t="s">
        <v>383</v>
      </c>
      <c r="C53" s="300">
        <f t="shared" si="14"/>
        <v>2.7974870890841825</v>
      </c>
      <c r="D53" s="300">
        <f t="shared" si="14"/>
        <v>2.5636924690151583</v>
      </c>
      <c r="E53" s="300">
        <f t="shared" si="14"/>
        <v>2.6641765534313446</v>
      </c>
      <c r="F53" s="300">
        <f t="shared" si="14"/>
        <v>3.1238870665938672</v>
      </c>
      <c r="G53" s="300"/>
      <c r="H53" s="300"/>
      <c r="I53" s="300"/>
    </row>
    <row r="54" spans="2:9" ht="15.75" customHeight="1">
      <c r="B54" s="292" t="s">
        <v>369</v>
      </c>
      <c r="C54" s="300">
        <f t="shared" si="14"/>
        <v>2.7734634711440247</v>
      </c>
      <c r="D54" s="300">
        <f t="shared" si="14"/>
        <v>2.9012094047118318</v>
      </c>
      <c r="E54" s="300">
        <f t="shared" si="14"/>
        <v>3.6440845035362415</v>
      </c>
      <c r="F54" s="300">
        <f t="shared" si="14"/>
        <v>4.8936518504943125</v>
      </c>
      <c r="G54" s="300"/>
      <c r="H54" s="300"/>
      <c r="I54" s="300"/>
    </row>
    <row r="55" spans="2:9" ht="15.75" customHeight="1">
      <c r="B55" s="292" t="s">
        <v>370</v>
      </c>
      <c r="C55" s="300">
        <f t="shared" si="14"/>
        <v>2.4944727230166834</v>
      </c>
      <c r="D55" s="300">
        <f t="shared" si="14"/>
        <v>2.2647195863311751</v>
      </c>
      <c r="E55" s="300">
        <f t="shared" si="14"/>
        <v>2.7507755381723271</v>
      </c>
      <c r="F55" s="300">
        <f t="shared" si="14"/>
        <v>3.3428347246694914</v>
      </c>
      <c r="G55" s="300"/>
      <c r="H55" s="300"/>
      <c r="I55" s="300"/>
    </row>
    <row r="56" spans="2:9" ht="15.75" customHeight="1">
      <c r="B56" s="87"/>
      <c r="C56" s="300"/>
      <c r="D56" s="300"/>
      <c r="E56" s="300"/>
      <c r="F56" s="300"/>
      <c r="G56" s="300"/>
      <c r="H56" s="300"/>
      <c r="I56" s="300"/>
    </row>
    <row r="57" spans="2:9" ht="15.75" customHeight="1">
      <c r="B57" s="87" t="s">
        <v>385</v>
      </c>
      <c r="C57" s="310">
        <v>3247483</v>
      </c>
      <c r="D57" s="310">
        <v>4204256</v>
      </c>
      <c r="E57" s="310">
        <v>4938642</v>
      </c>
      <c r="F57" s="310">
        <v>5294315</v>
      </c>
      <c r="G57" s="301"/>
      <c r="H57" s="301"/>
      <c r="I57" s="301"/>
    </row>
    <row r="58" spans="2:9" ht="15.75" customHeight="1">
      <c r="B58" s="292" t="s">
        <v>386</v>
      </c>
      <c r="C58" s="301"/>
      <c r="D58" s="301"/>
      <c r="E58" s="301">
        <v>3026710</v>
      </c>
      <c r="F58" s="301">
        <v>3309311</v>
      </c>
      <c r="G58" s="301"/>
      <c r="H58" s="301"/>
      <c r="I58" s="301"/>
    </row>
    <row r="59" spans="2:9" ht="15.75" customHeight="1">
      <c r="B59" s="292" t="s">
        <v>387</v>
      </c>
      <c r="C59" s="301"/>
      <c r="D59" s="301"/>
      <c r="E59" s="301">
        <v>1874556</v>
      </c>
      <c r="F59" s="301">
        <v>1942692</v>
      </c>
      <c r="G59" s="301"/>
      <c r="H59" s="301"/>
      <c r="I59" s="301"/>
    </row>
    <row r="60" spans="2:9" ht="15.75" customHeight="1">
      <c r="B60" s="292" t="s">
        <v>383</v>
      </c>
      <c r="C60" s="301"/>
      <c r="D60" s="301"/>
      <c r="E60" s="301">
        <v>37376</v>
      </c>
      <c r="F60" s="301">
        <v>42312</v>
      </c>
      <c r="G60" s="301"/>
      <c r="H60" s="301"/>
      <c r="I60" s="301"/>
    </row>
    <row r="61" spans="2:9" ht="15.75" customHeight="1">
      <c r="B61" s="292" t="s">
        <v>369</v>
      </c>
      <c r="C61" s="301"/>
      <c r="D61" s="301"/>
      <c r="E61" s="301"/>
      <c r="F61" s="301"/>
      <c r="G61" s="301"/>
      <c r="H61" s="301"/>
      <c r="I61" s="301"/>
    </row>
    <row r="62" spans="2:9" ht="15.75" customHeight="1">
      <c r="B62" s="87"/>
      <c r="C62" s="301"/>
      <c r="D62" s="301"/>
      <c r="E62" s="301"/>
      <c r="F62" s="301"/>
      <c r="G62" s="301"/>
      <c r="H62" s="301"/>
      <c r="I62" s="301"/>
    </row>
    <row r="63" spans="2:9" ht="15.75" customHeight="1">
      <c r="B63" s="137" t="str">
        <f>"b. "&amp;B5</f>
        <v>b. 工程安装及服务收入</v>
      </c>
      <c r="C63" s="308">
        <f>C5</f>
        <v>2357502.48</v>
      </c>
      <c r="D63" s="308">
        <f>D5</f>
        <v>2550151.6920000003</v>
      </c>
      <c r="E63" s="308">
        <f>E5</f>
        <v>2218600.0499999998</v>
      </c>
      <c r="F63" s="308">
        <f>F5</f>
        <v>1410514.6329999999</v>
      </c>
      <c r="G63" s="137"/>
      <c r="H63" s="137"/>
      <c r="I63" s="137"/>
    </row>
    <row r="64" spans="2:9" ht="15.75" customHeight="1">
      <c r="B64" s="87" t="s">
        <v>388</v>
      </c>
      <c r="C64" s="301">
        <f>C57-2354203</f>
        <v>893280</v>
      </c>
      <c r="D64" s="301">
        <f>D57-C57</f>
        <v>956773</v>
      </c>
      <c r="E64" s="301">
        <f>E57-D57</f>
        <v>734386</v>
      </c>
      <c r="F64" s="301">
        <f>F57-E57</f>
        <v>355673</v>
      </c>
      <c r="G64" s="301"/>
      <c r="H64" s="301"/>
      <c r="I64" s="301"/>
    </row>
    <row r="65" spans="2:9" ht="15.75" customHeight="1">
      <c r="B65" s="292" t="s">
        <v>372</v>
      </c>
      <c r="C65" s="309">
        <f>C63/C64</f>
        <v>2.6391528747984956</v>
      </c>
      <c r="D65" s="309">
        <f t="shared" ref="D65:F65" si="15">D63/D64</f>
        <v>2.6653675344099388</v>
      </c>
      <c r="E65" s="309">
        <f t="shared" si="15"/>
        <v>3.021027157380451</v>
      </c>
      <c r="F65" s="309">
        <f t="shared" si="15"/>
        <v>3.9657624643984781</v>
      </c>
      <c r="G65" s="87"/>
      <c r="H65" s="87"/>
      <c r="I65" s="87"/>
    </row>
    <row r="66" spans="2:9" ht="15.75" customHeight="1">
      <c r="B66" s="292"/>
      <c r="C66" s="304"/>
      <c r="D66" s="304"/>
      <c r="E66" s="304"/>
      <c r="F66" s="304"/>
      <c r="G66" s="292"/>
      <c r="H66" s="292"/>
      <c r="I66" s="292"/>
    </row>
    <row r="67" spans="2:9" ht="15.75" customHeight="1">
      <c r="B67" s="307" t="str">
        <f>"c. "&amp;B6</f>
        <v>c. 其他</v>
      </c>
      <c r="C67" s="308">
        <f>C6</f>
        <v>130972.36</v>
      </c>
      <c r="D67" s="308">
        <f>D6</f>
        <v>154554.64800000002</v>
      </c>
      <c r="E67" s="308">
        <f>E6</f>
        <v>313664.14499999996</v>
      </c>
      <c r="F67" s="308">
        <f>F6</f>
        <v>407314.38600000006</v>
      </c>
      <c r="G67" s="308"/>
      <c r="H67" s="308"/>
      <c r="I67" s="308"/>
    </row>
    <row r="68" spans="2:9" ht="15.75" customHeight="1">
      <c r="B68" s="292" t="s">
        <v>376</v>
      </c>
      <c r="C68" s="306">
        <f>C67/C7</f>
        <v>0.02</v>
      </c>
      <c r="D68" s="306">
        <f>D67/D7</f>
        <v>2.4000000000000004E-2</v>
      </c>
      <c r="E68" s="306">
        <f>E67/E7</f>
        <v>4.0999999999999995E-2</v>
      </c>
      <c r="F68" s="306">
        <f>F67/F7</f>
        <v>5.4000000000000006E-2</v>
      </c>
      <c r="G68" s="306"/>
      <c r="H68" s="306"/>
      <c r="I68" s="306"/>
    </row>
    <row r="69" spans="2:9" ht="15.75" customHeight="1"/>
    <row r="70" spans="2:9" ht="15.75" customHeight="1">
      <c r="B70" s="117" t="s">
        <v>377</v>
      </c>
    </row>
    <row r="71" spans="2:9" ht="15.75" customHeight="1"/>
    <row r="72" spans="2:9" ht="15.75" customHeight="1">
      <c r="B72" s="137" t="s">
        <v>43</v>
      </c>
      <c r="C72" s="308">
        <f>C9</f>
        <v>4844726</v>
      </c>
      <c r="D72" s="308">
        <f>D9</f>
        <v>4653652</v>
      </c>
      <c r="E72" s="308">
        <f>E9</f>
        <v>5871226</v>
      </c>
      <c r="F72" s="308">
        <f>F9</f>
        <v>6149950</v>
      </c>
      <c r="G72" s="307"/>
      <c r="H72" s="307"/>
      <c r="I72" s="307"/>
    </row>
    <row r="73" spans="2:9" ht="15.75" customHeight="1">
      <c r="B73" s="292" t="s">
        <v>371</v>
      </c>
      <c r="C73" s="303"/>
      <c r="D73" s="303"/>
      <c r="E73" s="303">
        <v>4668463</v>
      </c>
      <c r="F73" s="303">
        <v>5278145</v>
      </c>
      <c r="G73" s="303"/>
      <c r="H73" s="303"/>
      <c r="I73" s="303"/>
    </row>
    <row r="74" spans="2:9" ht="15.75" customHeight="1">
      <c r="B74" s="292" t="s">
        <v>367</v>
      </c>
      <c r="C74" s="303">
        <f t="shared" ref="C74:E74" si="16">C72-C73</f>
        <v>4844726</v>
      </c>
      <c r="D74" s="303">
        <f t="shared" si="16"/>
        <v>4653652</v>
      </c>
      <c r="E74" s="303">
        <f t="shared" si="16"/>
        <v>1202763</v>
      </c>
      <c r="F74" s="303">
        <f>F72-F73</f>
        <v>871805</v>
      </c>
      <c r="G74" s="303"/>
      <c r="H74" s="303"/>
      <c r="I74" s="303"/>
    </row>
    <row r="75" spans="2:9" ht="15.75" customHeight="1">
      <c r="B75" s="292"/>
      <c r="C75" s="292"/>
      <c r="D75" s="292"/>
      <c r="E75" s="292"/>
      <c r="F75" s="292"/>
      <c r="G75" s="292"/>
      <c r="H75" s="292"/>
      <c r="I75" s="292"/>
    </row>
    <row r="76" spans="2:9" ht="15.75" customHeight="1">
      <c r="B76" s="87" t="s">
        <v>373</v>
      </c>
      <c r="C76" s="87"/>
      <c r="D76" s="87"/>
      <c r="E76" s="87"/>
      <c r="F76" s="87"/>
      <c r="G76" s="87"/>
      <c r="H76" s="87"/>
      <c r="I76" s="87"/>
    </row>
    <row r="77" spans="2:9" ht="15.75" customHeight="1">
      <c r="B77" s="87"/>
      <c r="C77" s="87"/>
      <c r="D77" s="87"/>
      <c r="E77" s="87"/>
      <c r="F77" s="87"/>
      <c r="G77" s="87"/>
      <c r="H77" s="87"/>
      <c r="I77" s="87"/>
    </row>
    <row r="78" spans="2:9" ht="15.75" customHeight="1">
      <c r="B78" s="137" t="s">
        <v>375</v>
      </c>
      <c r="C78" s="137"/>
      <c r="D78" s="137"/>
      <c r="E78" s="137"/>
      <c r="F78" s="137"/>
      <c r="G78" s="137"/>
      <c r="H78" s="137"/>
      <c r="I78" s="137"/>
    </row>
    <row r="79" spans="2:9" ht="15.75" customHeight="1"/>
    <row r="80" spans="2:9" ht="15.75" customHeight="1">
      <c r="B80" s="117" t="s">
        <v>389</v>
      </c>
    </row>
    <row r="81" spans="2:6" ht="15.75" customHeight="1"/>
    <row r="82" spans="2:6" ht="15.75" customHeight="1">
      <c r="B82" s="3" t="s">
        <v>390</v>
      </c>
    </row>
    <row r="83" spans="2:6" ht="15.75" customHeight="1"/>
    <row r="84" spans="2:6" ht="15.75" customHeight="1">
      <c r="B84" s="3" t="s">
        <v>391</v>
      </c>
    </row>
    <row r="85" spans="2:6" ht="15.75" customHeight="1"/>
    <row r="86" spans="2:6" ht="15.75" customHeight="1"/>
    <row r="87" spans="2:6" ht="15.75" customHeight="1">
      <c r="B87" s="137" t="s">
        <v>352</v>
      </c>
      <c r="C87" s="308"/>
      <c r="D87" s="308"/>
      <c r="E87" s="308"/>
      <c r="F87" s="308">
        <v>514000</v>
      </c>
    </row>
    <row r="88" spans="2:6" ht="15.75" customHeight="1">
      <c r="C88" s="308"/>
      <c r="D88" s="308"/>
      <c r="E88" s="308"/>
      <c r="F88" s="302">
        <v>117000</v>
      </c>
    </row>
    <row r="89" spans="2:6" ht="15.75" customHeight="1"/>
    <row r="90" spans="2:6" ht="15.75" customHeight="1"/>
    <row r="91" spans="2:6" ht="15.75" customHeight="1"/>
    <row r="92" spans="2:6" ht="15.75" customHeight="1"/>
    <row r="93" spans="2:6" ht="15.75" customHeight="1"/>
    <row r="94" spans="2:6" ht="15.75" customHeight="1"/>
    <row r="95" spans="2:6" ht="15.75" customHeight="1"/>
    <row r="96" spans="2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mergeCells count="1">
    <mergeCell ref="G23:I23"/>
  </mergeCells>
  <phoneticPr fontId="31" type="noConversion"/>
  <conditionalFormatting sqref="G17:G19">
    <cfRule type="containsBlanks" dxfId="8" priority="18">
      <formula>LEN(TRIM(G17))=0</formula>
    </cfRule>
  </conditionalFormatting>
  <conditionalFormatting sqref="G23">
    <cfRule type="containsBlanks" dxfId="7" priority="7">
      <formula>LEN(TRIM(G23))=0</formula>
    </cfRule>
  </conditionalFormatting>
  <conditionalFormatting sqref="H9:H12 H14:H16">
    <cfRule type="containsBlanks" priority="27">
      <formula>LEN(TRIM(H9))=0</formula>
    </cfRule>
  </conditionalFormatting>
  <conditionalFormatting sqref="H9:H22">
    <cfRule type="containsBlanks" dxfId="6" priority="26">
      <formula>LEN(TRIM(H9))=0</formula>
    </cfRule>
  </conditionalFormatting>
  <conditionalFormatting sqref="H19:I19">
    <cfRule type="containsBlanks" dxfId="5" priority="20">
      <formula>LEN(TRIM(H19))=0</formula>
    </cfRule>
  </conditionalFormatting>
  <conditionalFormatting sqref="H20:I22 H24:I24">
    <cfRule type="containsBlanks" dxfId="4" priority="8">
      <formula>LEN(TRIM(H20))=0</formula>
    </cfRule>
    <cfRule type="containsBlanks" priority="9">
      <formula>LEN(TRIM(H20))=0</formula>
    </cfRule>
  </conditionalFormatting>
  <conditionalFormatting sqref="I8:I16">
    <cfRule type="containsBlanks" priority="23">
      <formula>LEN(TRIM(I8))=0</formula>
    </cfRule>
  </conditionalFormatting>
  <conditionalFormatting sqref="I8:I22">
    <cfRule type="containsBlanks" dxfId="3" priority="22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39:S146"/>
  <sheetViews>
    <sheetView showGridLines="0" zoomScale="88" workbookViewId="0">
      <selection activeCell="H44" sqref="H44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39" spans="2:19" ht="15">
      <c r="C39" s="312">
        <f t="shared" ref="C39:G39" si="0">D39-1</f>
        <v>2012</v>
      </c>
      <c r="D39" s="312">
        <f t="shared" si="0"/>
        <v>2013</v>
      </c>
      <c r="E39" s="312">
        <f t="shared" si="0"/>
        <v>2014</v>
      </c>
      <c r="F39" s="312">
        <f t="shared" si="0"/>
        <v>2015</v>
      </c>
      <c r="G39" s="312">
        <f t="shared" si="0"/>
        <v>2016</v>
      </c>
      <c r="H39" s="312">
        <f t="shared" ref="H39:K39" si="1">I39-1</f>
        <v>2017</v>
      </c>
      <c r="I39" s="312">
        <f t="shared" si="1"/>
        <v>2018</v>
      </c>
      <c r="J39" s="312">
        <f t="shared" si="1"/>
        <v>2019</v>
      </c>
      <c r="K39" s="312">
        <f t="shared" si="1"/>
        <v>2020</v>
      </c>
      <c r="L39" s="312">
        <f>M39-1</f>
        <v>2021</v>
      </c>
      <c r="M39" s="312">
        <v>2022</v>
      </c>
      <c r="N39" s="311"/>
      <c r="O39" s="311"/>
      <c r="P39" s="311"/>
      <c r="Q39" s="311"/>
      <c r="R39" s="311"/>
      <c r="S39" s="311"/>
    </row>
    <row r="40" spans="2:19" ht="14">
      <c r="B40" s="3" t="s">
        <v>385</v>
      </c>
      <c r="C40" s="301">
        <v>459401</v>
      </c>
      <c r="D40" s="301">
        <v>596421</v>
      </c>
      <c r="E40" s="301">
        <v>794217</v>
      </c>
      <c r="F40" s="301">
        <v>1022122</v>
      </c>
      <c r="G40" s="301">
        <v>1334299</v>
      </c>
      <c r="H40" s="315">
        <v>1636226</v>
      </c>
      <c r="I40" s="315">
        <v>2354203</v>
      </c>
      <c r="J40" s="301">
        <v>3247483</v>
      </c>
      <c r="K40" s="301">
        <v>4204256</v>
      </c>
      <c r="L40" s="301">
        <v>4938642</v>
      </c>
      <c r="M40" s="301">
        <v>5294315</v>
      </c>
    </row>
    <row r="41" spans="2:19">
      <c r="B41" s="313" t="s">
        <v>393</v>
      </c>
      <c r="C41" s="314"/>
      <c r="D41" s="317">
        <f t="shared" ref="D41:L41" si="2">D40/C40-1</f>
        <v>0.29825794893785607</v>
      </c>
      <c r="E41" s="317">
        <f t="shared" si="2"/>
        <v>0.33163822199419535</v>
      </c>
      <c r="F41" s="317">
        <f t="shared" si="2"/>
        <v>0.28695558015000944</v>
      </c>
      <c r="G41" s="317">
        <f t="shared" si="2"/>
        <v>0.30542048796523313</v>
      </c>
      <c r="H41" s="317">
        <f t="shared" si="2"/>
        <v>0.22628136572087665</v>
      </c>
      <c r="I41" s="317">
        <f t="shared" si="2"/>
        <v>0.43880063023078719</v>
      </c>
      <c r="J41" s="317">
        <f t="shared" si="2"/>
        <v>0.37944051553753022</v>
      </c>
      <c r="K41" s="317">
        <f t="shared" si="2"/>
        <v>0.29461986406087415</v>
      </c>
      <c r="L41" s="317">
        <f t="shared" si="2"/>
        <v>0.1746768036960642</v>
      </c>
      <c r="M41" s="317">
        <f>M40/L40-1</f>
        <v>7.2018380761351031E-2</v>
      </c>
    </row>
    <row r="42" spans="2:19">
      <c r="B42" s="313" t="s">
        <v>395</v>
      </c>
      <c r="C42" s="314">
        <v>0</v>
      </c>
      <c r="D42" s="316">
        <f>D40-C40</f>
        <v>137020</v>
      </c>
      <c r="E42" s="316">
        <f t="shared" ref="E42:M42" si="3">E40-D40</f>
        <v>197796</v>
      </c>
      <c r="F42" s="316">
        <f t="shared" si="3"/>
        <v>227905</v>
      </c>
      <c r="G42" s="316">
        <f t="shared" si="3"/>
        <v>312177</v>
      </c>
      <c r="H42" s="316">
        <f t="shared" si="3"/>
        <v>301927</v>
      </c>
      <c r="I42" s="316">
        <f t="shared" si="3"/>
        <v>717977</v>
      </c>
      <c r="J42" s="316">
        <f t="shared" si="3"/>
        <v>893280</v>
      </c>
      <c r="K42" s="316">
        <f t="shared" si="3"/>
        <v>956773</v>
      </c>
      <c r="L42" s="316">
        <f t="shared" si="3"/>
        <v>734386</v>
      </c>
      <c r="M42" s="316">
        <f t="shared" si="3"/>
        <v>355673</v>
      </c>
    </row>
    <row r="43" spans="2:19">
      <c r="B43" s="313" t="s">
        <v>393</v>
      </c>
      <c r="C43" s="314"/>
      <c r="D43" s="317"/>
      <c r="E43" s="317">
        <f>E42/D42-1</f>
        <v>0.44355568530141576</v>
      </c>
      <c r="F43" s="317">
        <f t="shared" ref="F43:M43" si="4">F42/E42-1</f>
        <v>0.15222249186030057</v>
      </c>
      <c r="G43" s="317">
        <f t="shared" si="4"/>
        <v>0.36976810513152403</v>
      </c>
      <c r="H43" s="317">
        <f t="shared" si="4"/>
        <v>-3.283393715744598E-2</v>
      </c>
      <c r="I43" s="317">
        <f t="shared" si="4"/>
        <v>1.3779820950097208</v>
      </c>
      <c r="J43" s="317">
        <f t="shared" si="4"/>
        <v>0.24416241745905509</v>
      </c>
      <c r="K43" s="317">
        <f t="shared" si="4"/>
        <v>7.1078497223714843E-2</v>
      </c>
      <c r="L43" s="317">
        <f t="shared" si="4"/>
        <v>-0.23243444369772137</v>
      </c>
      <c r="M43" s="317">
        <f t="shared" si="4"/>
        <v>-0.51568657354579206</v>
      </c>
    </row>
    <row r="44" spans="2:19">
      <c r="C44" s="314"/>
      <c r="D44" s="314"/>
      <c r="E44" s="314"/>
      <c r="F44" s="314"/>
      <c r="G44" s="314"/>
      <c r="H44" s="314"/>
      <c r="I44" s="314"/>
      <c r="J44" s="314"/>
      <c r="K44" s="314"/>
      <c r="L44" s="314"/>
      <c r="M44" s="314"/>
    </row>
    <row r="45" spans="2:19">
      <c r="B45" s="313" t="s">
        <v>394</v>
      </c>
      <c r="C45" s="315">
        <v>15471</v>
      </c>
      <c r="D45" s="315">
        <v>18106</v>
      </c>
      <c r="E45" s="315">
        <v>25759</v>
      </c>
      <c r="F45" s="315">
        <v>62055</v>
      </c>
      <c r="G45" s="315">
        <v>91752</v>
      </c>
      <c r="H45" s="316">
        <v>106359</v>
      </c>
      <c r="I45" s="316">
        <v>129236</v>
      </c>
      <c r="J45" s="316">
        <v>156640</v>
      </c>
      <c r="K45" s="316">
        <v>151461</v>
      </c>
      <c r="L45" s="316">
        <v>194238</v>
      </c>
      <c r="M45" s="316">
        <v>191177</v>
      </c>
    </row>
    <row r="46" spans="2:19">
      <c r="B46" s="313" t="s">
        <v>393</v>
      </c>
      <c r="C46" s="314"/>
      <c r="D46" s="317">
        <f t="shared" ref="D46:L46" si="5">D45/C45-1</f>
        <v>0.17031866072005686</v>
      </c>
      <c r="E46" s="317">
        <f t="shared" si="5"/>
        <v>0.42267756544791779</v>
      </c>
      <c r="F46" s="317">
        <f t="shared" si="5"/>
        <v>1.4090609107496408</v>
      </c>
      <c r="G46" s="317">
        <f t="shared" si="5"/>
        <v>0.47855934251873333</v>
      </c>
      <c r="H46" s="317">
        <f t="shared" si="5"/>
        <v>0.15920088935391052</v>
      </c>
      <c r="I46" s="317">
        <f t="shared" si="5"/>
        <v>0.21509228180031781</v>
      </c>
      <c r="J46" s="317">
        <f t="shared" si="5"/>
        <v>0.21204617908322754</v>
      </c>
      <c r="K46" s="317">
        <f t="shared" si="5"/>
        <v>-3.3063074565883532E-2</v>
      </c>
      <c r="L46" s="317">
        <f t="shared" si="5"/>
        <v>0.28242914017469833</v>
      </c>
      <c r="M46" s="317">
        <f>M45/L45-1</f>
        <v>-1.5759017288069277E-2</v>
      </c>
    </row>
    <row r="47" spans="2:19">
      <c r="C47" s="314"/>
      <c r="D47" s="314"/>
      <c r="E47" s="314"/>
      <c r="F47" s="314"/>
      <c r="G47" s="314"/>
      <c r="H47" s="314"/>
      <c r="I47" s="314"/>
      <c r="J47" s="314"/>
      <c r="K47" s="314"/>
      <c r="L47" s="314"/>
      <c r="M47" s="314"/>
    </row>
    <row r="67" spans="2:13" ht="13">
      <c r="B67" s="318" t="s">
        <v>397</v>
      </c>
    </row>
    <row r="68" spans="2:13" ht="15">
      <c r="C68" s="312">
        <f>C39</f>
        <v>2012</v>
      </c>
      <c r="D68" s="312">
        <f t="shared" ref="D68:M68" si="6">D39</f>
        <v>2013</v>
      </c>
      <c r="E68" s="312">
        <f t="shared" si="6"/>
        <v>2014</v>
      </c>
      <c r="F68" s="312">
        <f t="shared" si="6"/>
        <v>2015</v>
      </c>
      <c r="G68" s="312">
        <f t="shared" si="6"/>
        <v>2016</v>
      </c>
      <c r="H68" s="312">
        <f t="shared" si="6"/>
        <v>2017</v>
      </c>
      <c r="I68" s="312">
        <f t="shared" si="6"/>
        <v>2018</v>
      </c>
      <c r="J68" s="312">
        <f t="shared" si="6"/>
        <v>2019</v>
      </c>
      <c r="K68" s="312">
        <f t="shared" si="6"/>
        <v>2020</v>
      </c>
      <c r="L68" s="312">
        <f t="shared" si="6"/>
        <v>2021</v>
      </c>
      <c r="M68" s="312">
        <f t="shared" si="6"/>
        <v>2022</v>
      </c>
    </row>
    <row r="69" spans="2:13">
      <c r="B69" s="313" t="s">
        <v>360</v>
      </c>
      <c r="C69" s="317">
        <v>0.35070000000000001</v>
      </c>
      <c r="D69" s="317">
        <v>0.36520000000000002</v>
      </c>
      <c r="E69" s="317">
        <v>0.34339999999999998</v>
      </c>
      <c r="F69" s="317">
        <v>0.27029999999999998</v>
      </c>
      <c r="G69" s="317">
        <v>0.2571</v>
      </c>
      <c r="H69" s="317">
        <v>0.247</v>
      </c>
      <c r="I69" s="317">
        <v>0.27929999999999999</v>
      </c>
      <c r="J69" s="317">
        <v>0.26019999999999999</v>
      </c>
      <c r="K69" s="317">
        <v>0.27739999999999998</v>
      </c>
      <c r="L69" s="317">
        <v>0.2326</v>
      </c>
      <c r="M69" s="317">
        <v>0.1847</v>
      </c>
    </row>
    <row r="70" spans="2:13">
      <c r="B70" s="313" t="s">
        <v>396</v>
      </c>
      <c r="C70" s="317">
        <v>0.30719999999999997</v>
      </c>
      <c r="D70" s="317">
        <v>0.34200000000000003</v>
      </c>
      <c r="E70" s="317">
        <v>0.30349999999999999</v>
      </c>
      <c r="F70" s="317">
        <v>0.31480000000000002</v>
      </c>
      <c r="G70" s="317">
        <v>0.33979999999999999</v>
      </c>
      <c r="H70" s="317">
        <v>0.29909999999999998</v>
      </c>
      <c r="I70" s="317">
        <v>0.26619999999999999</v>
      </c>
      <c r="J70" s="317">
        <v>0.2495</v>
      </c>
      <c r="K70" s="317">
        <v>0.26900000000000002</v>
      </c>
      <c r="L70" s="317">
        <v>0.23400000000000001</v>
      </c>
      <c r="M70" s="317">
        <v>0.19170000000000001</v>
      </c>
    </row>
    <row r="71" spans="2:13">
      <c r="B71" s="313" t="s">
        <v>398</v>
      </c>
      <c r="C71" s="317">
        <v>0.20580000000000001</v>
      </c>
      <c r="D71" s="317">
        <v>0.20330000000000001</v>
      </c>
      <c r="E71" s="317">
        <v>0.20380000000000001</v>
      </c>
      <c r="F71" s="317">
        <v>0.2414</v>
      </c>
      <c r="G71" s="317">
        <v>0.26179999999999998</v>
      </c>
      <c r="H71" s="317">
        <v>0.22090000000000001</v>
      </c>
      <c r="I71" s="317">
        <v>0.23669999999999999</v>
      </c>
      <c r="J71" s="317">
        <v>0.28720000000000001</v>
      </c>
      <c r="K71" s="317">
        <v>0.25869999999999999</v>
      </c>
      <c r="L71" s="317">
        <v>0.1784</v>
      </c>
      <c r="M71" s="317">
        <v>0.1308</v>
      </c>
    </row>
    <row r="92" spans="2:13" ht="13">
      <c r="B92" s="318" t="s">
        <v>408</v>
      </c>
    </row>
    <row r="93" spans="2:13" ht="15">
      <c r="B93" s="313"/>
      <c r="C93" s="312">
        <f>C68</f>
        <v>2012</v>
      </c>
      <c r="D93" s="312">
        <f t="shared" ref="D93:M93" si="7">D68</f>
        <v>2013</v>
      </c>
      <c r="E93" s="312">
        <f t="shared" si="7"/>
        <v>2014</v>
      </c>
      <c r="F93" s="312">
        <f t="shared" si="7"/>
        <v>2015</v>
      </c>
      <c r="G93" s="312">
        <f t="shared" si="7"/>
        <v>2016</v>
      </c>
      <c r="H93" s="312">
        <f t="shared" si="7"/>
        <v>2017</v>
      </c>
      <c r="I93" s="312">
        <f t="shared" si="7"/>
        <v>2018</v>
      </c>
      <c r="J93" s="312">
        <f t="shared" si="7"/>
        <v>2019</v>
      </c>
      <c r="K93" s="312">
        <f t="shared" si="7"/>
        <v>2020</v>
      </c>
      <c r="L93" s="312">
        <f t="shared" si="7"/>
        <v>2021</v>
      </c>
      <c r="M93" s="312">
        <f t="shared" si="7"/>
        <v>2022</v>
      </c>
    </row>
    <row r="94" spans="2:13">
      <c r="B94" s="313" t="s">
        <v>399</v>
      </c>
      <c r="C94" s="317">
        <f>1-C69</f>
        <v>0.64929999999999999</v>
      </c>
      <c r="D94" s="317">
        <f t="shared" ref="D94:M94" si="8">1-D69</f>
        <v>0.63480000000000003</v>
      </c>
      <c r="E94" s="317">
        <f t="shared" si="8"/>
        <v>0.65660000000000007</v>
      </c>
      <c r="F94" s="317">
        <f t="shared" si="8"/>
        <v>0.72970000000000002</v>
      </c>
      <c r="G94" s="317">
        <f t="shared" si="8"/>
        <v>0.7429</v>
      </c>
      <c r="H94" s="317">
        <f t="shared" si="8"/>
        <v>0.753</v>
      </c>
      <c r="I94" s="317">
        <f t="shared" si="8"/>
        <v>0.72070000000000001</v>
      </c>
      <c r="J94" s="317">
        <f t="shared" si="8"/>
        <v>0.73980000000000001</v>
      </c>
      <c r="K94" s="317">
        <f t="shared" si="8"/>
        <v>0.72260000000000002</v>
      </c>
      <c r="L94" s="317">
        <f t="shared" si="8"/>
        <v>0.76739999999999997</v>
      </c>
      <c r="M94" s="317">
        <f t="shared" si="8"/>
        <v>0.81530000000000002</v>
      </c>
    </row>
    <row r="95" spans="2:13">
      <c r="B95" s="313" t="s">
        <v>400</v>
      </c>
      <c r="C95" s="314"/>
      <c r="D95" s="314"/>
      <c r="E95" s="314"/>
      <c r="F95" s="314"/>
      <c r="G95" s="314"/>
      <c r="H95" s="314"/>
      <c r="I95" s="314"/>
      <c r="J95" s="317">
        <f>Data!F12</f>
        <v>3.8784519115330873E-2</v>
      </c>
      <c r="K95" s="317">
        <f>Data!E12</f>
        <v>3.9250427460454013E-2</v>
      </c>
      <c r="L95" s="317">
        <f>Data!D12</f>
        <v>3.5929490761527738E-2</v>
      </c>
      <c r="M95" s="317">
        <f>Data!C12</f>
        <v>4.120798227833769E-2</v>
      </c>
    </row>
    <row r="96" spans="2:13">
      <c r="B96" s="313" t="s">
        <v>401</v>
      </c>
      <c r="C96" s="314"/>
      <c r="D96" s="314"/>
      <c r="E96" s="314"/>
      <c r="F96" s="314"/>
      <c r="G96" s="314"/>
      <c r="H96" s="314"/>
      <c r="I96" s="314"/>
      <c r="J96" s="317">
        <f>Data!F18/Data!F7</f>
        <v>4.4420975540182678E-2</v>
      </c>
      <c r="K96" s="317">
        <f>Data!E18/Data!E7</f>
        <v>3.8875725044516293E-2</v>
      </c>
      <c r="L96" s="317">
        <f>Data!D18/Data!D7</f>
        <v>3.0819786558645396E-2</v>
      </c>
      <c r="M96" s="317">
        <f>Data!C18/Data!C7</f>
        <v>4.308114469593028E-2</v>
      </c>
    </row>
    <row r="97" spans="2:13">
      <c r="B97" s="313" t="s">
        <v>402</v>
      </c>
      <c r="J97" s="317">
        <f>Data!F19/Data!F7</f>
        <v>0.12421933910330393</v>
      </c>
      <c r="K97" s="317">
        <f>Data!E19/Data!E7</f>
        <v>0.16517233438362849</v>
      </c>
      <c r="L97" s="317">
        <f>Data!D19/Data!D7</f>
        <v>0.13438792629613436</v>
      </c>
      <c r="M97" s="317">
        <f>Data!C19/Data!C7</f>
        <v>6.2214075591231391E-2</v>
      </c>
    </row>
    <row r="99" spans="2:13" ht="13">
      <c r="B99" s="318" t="s">
        <v>407</v>
      </c>
    </row>
    <row r="100" spans="2:13" ht="15">
      <c r="C100" s="312">
        <f>C93</f>
        <v>2012</v>
      </c>
      <c r="D100" s="312">
        <f>D93</f>
        <v>2013</v>
      </c>
      <c r="E100" s="312">
        <f t="shared" ref="E100:M100" si="9">E93</f>
        <v>2014</v>
      </c>
      <c r="F100" s="312">
        <f t="shared" si="9"/>
        <v>2015</v>
      </c>
      <c r="G100" s="312">
        <f t="shared" si="9"/>
        <v>2016</v>
      </c>
      <c r="H100" s="312">
        <f t="shared" si="9"/>
        <v>2017</v>
      </c>
      <c r="I100" s="312">
        <f t="shared" si="9"/>
        <v>2018</v>
      </c>
      <c r="J100" s="312">
        <f t="shared" si="9"/>
        <v>2019</v>
      </c>
      <c r="K100" s="312">
        <f t="shared" si="9"/>
        <v>2020</v>
      </c>
      <c r="L100" s="312">
        <f t="shared" si="9"/>
        <v>2021</v>
      </c>
      <c r="M100" s="312">
        <f t="shared" si="9"/>
        <v>2022</v>
      </c>
    </row>
    <row r="101" spans="2:13">
      <c r="B101" s="313" t="s">
        <v>405</v>
      </c>
      <c r="J101" s="316">
        <f>Data!F14</f>
        <v>1449907</v>
      </c>
      <c r="K101" s="316">
        <f>Data!E14</f>
        <v>1533361</v>
      </c>
      <c r="L101" s="316">
        <f>Data!D14</f>
        <v>1504246</v>
      </c>
      <c r="M101" s="316">
        <f>Data!C14</f>
        <v>1082083</v>
      </c>
    </row>
    <row r="102" spans="2:13">
      <c r="B102" s="313" t="s">
        <v>406</v>
      </c>
      <c r="J102" s="316">
        <f>Data!F18</f>
        <v>290896</v>
      </c>
      <c r="K102" s="316">
        <f>Data!E18</f>
        <v>250351</v>
      </c>
      <c r="L102" s="316">
        <f>Data!D18</f>
        <v>235782</v>
      </c>
      <c r="M102" s="316">
        <f>Data!C18</f>
        <v>324955</v>
      </c>
    </row>
    <row r="103" spans="2:13">
      <c r="B103" s="313" t="s">
        <v>404</v>
      </c>
      <c r="J103" s="317">
        <f>J102/J101</f>
        <v>0.20063079907883746</v>
      </c>
      <c r="K103" s="317">
        <f t="shared" ref="K103:M103" si="10">K102/K101</f>
        <v>0.16326944535565988</v>
      </c>
      <c r="L103" s="317">
        <f t="shared" si="10"/>
        <v>0.15674430910901541</v>
      </c>
      <c r="M103" s="317">
        <f t="shared" si="10"/>
        <v>0.30030505977822403</v>
      </c>
    </row>
    <row r="124" spans="2:13" ht="15">
      <c r="C124" s="312">
        <v>2012</v>
      </c>
      <c r="D124" s="312">
        <v>2013</v>
      </c>
      <c r="E124" s="312">
        <v>2014</v>
      </c>
      <c r="F124" s="312">
        <v>2015</v>
      </c>
      <c r="G124" s="312">
        <v>2016</v>
      </c>
      <c r="H124" s="312">
        <v>2017</v>
      </c>
      <c r="I124" s="312">
        <v>2018</v>
      </c>
      <c r="J124" s="312">
        <v>2019</v>
      </c>
      <c r="K124" s="312">
        <v>2020</v>
      </c>
      <c r="L124" s="312">
        <v>2021</v>
      </c>
      <c r="M124" s="312">
        <v>2022</v>
      </c>
    </row>
    <row r="125" spans="2:13">
      <c r="B125" t="s">
        <v>409</v>
      </c>
      <c r="J125" s="319">
        <f>Data!F19</f>
        <v>813465</v>
      </c>
      <c r="K125" s="319">
        <f>Data!E19</f>
        <v>1063673</v>
      </c>
      <c r="L125" s="319">
        <f>Data!D19</f>
        <v>1028114</v>
      </c>
      <c r="M125" s="319">
        <f>Data!C19</f>
        <v>469272</v>
      </c>
    </row>
    <row r="126" spans="2:13">
      <c r="B126" t="s">
        <v>410</v>
      </c>
      <c r="J126" s="319">
        <f>Data!F33</f>
        <v>590000</v>
      </c>
      <c r="K126" s="319">
        <f>Data!E33</f>
        <v>868000</v>
      </c>
      <c r="L126" s="319">
        <f>Data!D33</f>
        <v>1341000</v>
      </c>
      <c r="M126" s="319">
        <f>Data!C33</f>
        <v>514000</v>
      </c>
    </row>
    <row r="127" spans="2:13">
      <c r="B127" t="s">
        <v>411</v>
      </c>
      <c r="J127" s="319">
        <f>Data!F40</f>
        <v>211838</v>
      </c>
      <c r="K127" s="319">
        <f>Data!E40</f>
        <v>235003</v>
      </c>
      <c r="L127" s="319">
        <f>Data!D40</f>
        <v>289322</v>
      </c>
      <c r="M127" s="319">
        <f>Data!C40</f>
        <v>223081</v>
      </c>
    </row>
    <row r="128" spans="2:13">
      <c r="B128" t="s">
        <v>412</v>
      </c>
      <c r="L128" s="319">
        <f>Data!D41</f>
        <v>200697</v>
      </c>
      <c r="M128" s="319">
        <f>Data!C41</f>
        <v>269421</v>
      </c>
    </row>
    <row r="129" spans="2:15">
      <c r="B129" t="s">
        <v>414</v>
      </c>
      <c r="J129" s="319">
        <f>Data!F34</f>
        <v>268000</v>
      </c>
      <c r="K129" s="319">
        <f>Data!E34</f>
        <v>568000</v>
      </c>
      <c r="L129" s="319">
        <f>Data!D34</f>
        <v>918000</v>
      </c>
      <c r="M129" s="319">
        <f>Data!C34</f>
        <v>117000</v>
      </c>
    </row>
    <row r="132" spans="2:15">
      <c r="B132" t="s">
        <v>416</v>
      </c>
      <c r="J132" s="319">
        <v>1315974</v>
      </c>
      <c r="K132" s="319">
        <v>2298560</v>
      </c>
      <c r="L132" s="319">
        <v>2061289</v>
      </c>
      <c r="M132" s="319">
        <v>2916855</v>
      </c>
    </row>
    <row r="133" spans="2:15">
      <c r="B133" t="s">
        <v>417</v>
      </c>
      <c r="J133" s="319">
        <v>3886094</v>
      </c>
      <c r="K133" s="319">
        <v>2774281</v>
      </c>
      <c r="L133" s="319">
        <v>4254707</v>
      </c>
      <c r="M133" s="319">
        <v>4294664</v>
      </c>
    </row>
    <row r="134" spans="2:15">
      <c r="B134" s="313" t="s">
        <v>418</v>
      </c>
      <c r="J134" s="320">
        <v>1.3370230781251284</v>
      </c>
      <c r="K134" s="320">
        <v>1.0795113892766026</v>
      </c>
      <c r="L134" s="320">
        <v>1.2103831624020565</v>
      </c>
      <c r="M134" s="320">
        <v>1.309293938120297</v>
      </c>
    </row>
    <row r="137" spans="2:15">
      <c r="G137" s="313" t="s">
        <v>419</v>
      </c>
      <c r="H137" s="314"/>
      <c r="I137" s="322" t="s">
        <v>420</v>
      </c>
      <c r="J137" s="322" t="s">
        <v>421</v>
      </c>
      <c r="K137" s="322" t="s">
        <v>422</v>
      </c>
      <c r="L137" s="322" t="s">
        <v>430</v>
      </c>
      <c r="M137" s="322" t="s">
        <v>425</v>
      </c>
    </row>
    <row r="138" spans="2:15">
      <c r="H138" s="314"/>
      <c r="I138" s="316">
        <f>(M125+L125)/2</f>
        <v>748693</v>
      </c>
      <c r="J138" s="314"/>
      <c r="K138" s="314">
        <v>10</v>
      </c>
      <c r="M138" s="314">
        <v>1.1000000000000001</v>
      </c>
      <c r="N138" s="321" t="s">
        <v>21</v>
      </c>
      <c r="O138" s="316">
        <f>I138*K138/M138</f>
        <v>6806299.9999999991</v>
      </c>
    </row>
    <row r="140" spans="2:15">
      <c r="G140" s="313" t="s">
        <v>423</v>
      </c>
      <c r="I140" s="322" t="s">
        <v>424</v>
      </c>
      <c r="J140" s="322" t="s">
        <v>421</v>
      </c>
      <c r="K140" s="322" t="s">
        <v>429</v>
      </c>
      <c r="L140" s="322" t="s">
        <v>427</v>
      </c>
      <c r="M140" s="322" t="s">
        <v>426</v>
      </c>
    </row>
    <row r="141" spans="2:15">
      <c r="I141" s="316">
        <f>Asset_Model!C33+Asset_Model!C29+Asset_Model!C34</f>
        <v>983078</v>
      </c>
      <c r="J141" s="322" t="s">
        <v>421</v>
      </c>
      <c r="K141" s="314">
        <v>0.8</v>
      </c>
      <c r="L141" s="321"/>
      <c r="M141" s="316">
        <f>'Val Models'!C17</f>
        <v>-7211519</v>
      </c>
      <c r="N141" s="313" t="s">
        <v>21</v>
      </c>
      <c r="O141" s="323">
        <f>I141*K141+M141</f>
        <v>-6425056.5999999996</v>
      </c>
    </row>
    <row r="143" spans="2:15">
      <c r="G143" s="313"/>
    </row>
    <row r="144" spans="2:15">
      <c r="K144" s="322" t="s">
        <v>428</v>
      </c>
      <c r="L144" s="321" t="s">
        <v>21</v>
      </c>
      <c r="M144" s="316">
        <f>O138+O141</f>
        <v>381243.39999999944</v>
      </c>
    </row>
    <row r="146" spans="13:13">
      <c r="M146" s="324">
        <f>M144*Data!C4/Common_Shares</f>
        <v>0.38827699584583114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45" sqref="C4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338</v>
      </c>
      <c r="C2" s="115" t="s">
        <v>223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9">
        <f>Projections!F3</f>
        <v>44926</v>
      </c>
      <c r="D3" s="199">
        <f>Projections!G3</f>
        <v>45291</v>
      </c>
      <c r="E3" s="199" t="str">
        <f>Projections!H3</f>
        <v/>
      </c>
      <c r="F3" s="199" t="str">
        <f>Projections!I3</f>
        <v/>
      </c>
      <c r="G3" s="200" t="s">
        <v>222</v>
      </c>
      <c r="I3" s="42" t="s">
        <v>122</v>
      </c>
    </row>
    <row r="4" spans="1:10" ht="15.75" customHeight="1">
      <c r="B4" s="147" t="s">
        <v>69</v>
      </c>
      <c r="C4" s="247">
        <f>IF(B4="NOPAT",Projections!F19,Projections!F7)</f>
        <v>811562.25</v>
      </c>
      <c r="D4" s="248">
        <f>IF(B4="NOPAT",Projections!G19,Projections!G7)</f>
        <v>973874.7</v>
      </c>
      <c r="E4" s="248" t="str">
        <f>IF(Projections!H7="","",IF(B4="NOPAT",Projections!H19,Projections!H7))</f>
        <v/>
      </c>
      <c r="F4" s="248" t="str">
        <f>IF(Projections!I7="","",IF(B4="NOPAT",Projections!I19,Projections!I7))</f>
        <v/>
      </c>
      <c r="G4" s="249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6">
        <f>D4/C4-1</f>
        <v>0.19999999999999996</v>
      </c>
      <c r="E5" s="246" t="str">
        <f>IF(E4="","",E4/D4-1)</f>
        <v/>
      </c>
      <c r="F5" s="246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80">
        <f>C7/C4</f>
        <v>0.5879315488121829</v>
      </c>
      <c r="D6" s="212">
        <f>D7/D4</f>
        <v>0.9029359754596763</v>
      </c>
      <c r="E6" s="180"/>
      <c r="F6" s="212"/>
      <c r="G6" s="102"/>
      <c r="H6" s="6"/>
      <c r="I6" s="45"/>
    </row>
    <row r="7" spans="1:10" ht="15" customHeight="1" thickBot="1">
      <c r="B7" s="146" t="s">
        <v>68</v>
      </c>
      <c r="C7" s="253">
        <f>Projections!F22</f>
        <v>477143.05060000002</v>
      </c>
      <c r="D7" s="253">
        <f>Projections!G22</f>
        <v>879346.50221999956</v>
      </c>
      <c r="E7" s="254" t="str">
        <f>Projections!H22</f>
        <v/>
      </c>
      <c r="F7" s="254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IF(C4="","",Projections!F19-C7)</f>
        <v>334419.19939999998</v>
      </c>
      <c r="D8" s="215">
        <f>Projections!G19-D7</f>
        <v>94528.197780000395</v>
      </c>
      <c r="E8" s="215" t="str">
        <f>IF(E4="","",Projections!H19-E7)</f>
        <v/>
      </c>
      <c r="F8" s="215" t="str">
        <f>IF(F4="","",Projections!I19-F7)</f>
        <v/>
      </c>
      <c r="G8" s="250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0.34058893110333227</v>
      </c>
      <c r="D9" s="255">
        <f>D8/(Common_Shares/Data!$C$4)</f>
        <v>9.6272157516009899E-2</v>
      </c>
      <c r="E9" s="255" t="str">
        <f>IF(E8="","",E8/(Common_Shares/Data!$C$4))</f>
        <v/>
      </c>
      <c r="F9" s="255" t="str">
        <f>IF(F8="","",F8/(Common_Shares/Data!$C$4))</f>
        <v/>
      </c>
      <c r="G9" s="256">
        <f>IF(F4="",IF(E4="",D8,E8),F8)*Data!C$4/Common_Shares</f>
        <v>9.6272157516009899E-2</v>
      </c>
      <c r="H9" s="49"/>
      <c r="I9" s="35"/>
      <c r="J9" s="35"/>
    </row>
    <row r="10" spans="1:10" ht="15.75" customHeight="1">
      <c r="B10" s="14" t="s">
        <v>129</v>
      </c>
      <c r="C10" s="252"/>
      <c r="D10" s="149">
        <f ca="1">Dashboard!C12</f>
        <v>9.6000000000000002E-2</v>
      </c>
      <c r="E10" s="149" t="str">
        <f>IF(E4="","",D10)</f>
        <v/>
      </c>
      <c r="F10" s="149" t="str">
        <f>IF(F4="","",D10)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130</v>
      </c>
      <c r="C11" s="75"/>
      <c r="D11" s="257">
        <f ca="1">IF(D4="","",1+D10)</f>
        <v>1.0960000000000001</v>
      </c>
      <c r="E11" s="257" t="str">
        <f>IF(E4="","",(1+D10)*(1+E10))</f>
        <v/>
      </c>
      <c r="F11" s="257" t="str">
        <f>IF(F4="","",(1+D10)*(1+E10)*(1+F10))</f>
        <v/>
      </c>
      <c r="G11" s="257">
        <f ca="1">IF(F4="",IF(E4="",D11,E11),F11)*(1+G10)</f>
        <v>1.2012160000000003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8"/>
      <c r="D12" s="259">
        <f ca="1">IF(D9="","",D9/D11)</f>
        <v>8.7839559777381282E-2</v>
      </c>
      <c r="E12" s="259" t="str">
        <f>IF(E9="","",E9/E11)</f>
        <v/>
      </c>
      <c r="F12" s="259" t="str">
        <f>IF(F9="","",F9/F11)</f>
        <v/>
      </c>
      <c r="G12" s="260"/>
      <c r="H12" s="48"/>
      <c r="I12" s="35"/>
      <c r="J12" s="35"/>
    </row>
    <row r="13" spans="1:10" ht="15.75" customHeight="1">
      <c r="C13" s="6"/>
      <c r="D13" s="6"/>
      <c r="E13" s="193"/>
      <c r="F13" s="6"/>
      <c r="G13" s="6"/>
    </row>
    <row r="14" spans="1:10" ht="15.75" customHeight="1">
      <c r="B14" s="135" t="s">
        <v>195</v>
      </c>
      <c r="C14" s="100" t="str">
        <f>B3</f>
        <v>(Numbers in 1000CNY)</v>
      </c>
      <c r="E14" s="42" t="s">
        <v>196</v>
      </c>
    </row>
    <row r="15" spans="1:10" ht="15.75" customHeight="1">
      <c r="B15" s="37" t="s">
        <v>206</v>
      </c>
      <c r="C15" s="51">
        <f>Asset_Model!E59</f>
        <v>1474880</v>
      </c>
      <c r="D15" s="106">
        <f>C15/(Dashboard!I5/Data!C4)*Exchange_Rate</f>
        <v>1.6372783199396483</v>
      </c>
      <c r="E15" s="52" t="s">
        <v>204</v>
      </c>
      <c r="G15" s="204">
        <f>C15+C16+C17+C18</f>
        <v>-5477484.7000000002</v>
      </c>
    </row>
    <row r="16" spans="1:10" ht="15.75" customHeight="1">
      <c r="B16" s="37" t="s">
        <v>210</v>
      </c>
      <c r="C16" s="51">
        <f>Asset_Model!E58</f>
        <v>573879.29999999993</v>
      </c>
      <c r="D16" s="106">
        <f>C16/(Dashboard!I5/Data!C4)*Exchange_Rate</f>
        <v>0.63706887079093977</v>
      </c>
      <c r="E16" s="52" t="s">
        <v>280</v>
      </c>
      <c r="G16" s="271">
        <f>(G15+MIN(D4,0))*Data!C$4/Dashboard!I5*Exchange_Rate</f>
        <v>-6.0806078780043995</v>
      </c>
    </row>
    <row r="17" spans="1:9" ht="15.75" customHeight="1">
      <c r="B17" s="37" t="s">
        <v>197</v>
      </c>
      <c r="C17" s="51">
        <f>-Asset_Model!D52</f>
        <v>-7211519</v>
      </c>
      <c r="D17" s="106">
        <f>C17/(Dashboard!I5/Data!C4)*Exchange_Rate</f>
        <v>-8.0055758519559905</v>
      </c>
      <c r="E17" s="346" t="str">
        <f>IF(F18+G18=G16,"⇒","Error!")</f>
        <v>⇒</v>
      </c>
      <c r="F17" s="87" t="s">
        <v>211</v>
      </c>
      <c r="G17" s="54" t="s">
        <v>20</v>
      </c>
    </row>
    <row r="18" spans="1:9" ht="15.75" customHeight="1">
      <c r="B18" s="52" t="s">
        <v>205</v>
      </c>
      <c r="C18" s="51">
        <f>-Asset_Model!E50</f>
        <v>-314725</v>
      </c>
      <c r="D18" s="106">
        <f>C18/(Dashboard!I5/Data!C4)*Exchange_Rate</f>
        <v>-0.34937921677899614</v>
      </c>
      <c r="E18" s="346"/>
      <c r="F18" s="89">
        <f>D15+(MIN(D4,0)*Data!C$4/Dashboard!I5)</f>
        <v>1.6372783199396483</v>
      </c>
      <c r="G18" s="88">
        <f>SUM(D16:D18)</f>
        <v>-7.717886197944047</v>
      </c>
    </row>
    <row r="19" spans="1:9" ht="15.75" customHeight="1">
      <c r="F19" s="6"/>
      <c r="G19" s="6"/>
    </row>
    <row r="20" spans="1:9" ht="15.75" customHeight="1">
      <c r="B20" s="20" t="s">
        <v>337</v>
      </c>
      <c r="C20" s="100" t="str">
        <f>B3</f>
        <v>(Numbers in 1000CNY)</v>
      </c>
      <c r="E20" s="394" t="s">
        <v>200</v>
      </c>
      <c r="F20" s="394"/>
      <c r="G20" s="60"/>
    </row>
    <row r="21" spans="1:9" ht="15.75" customHeight="1">
      <c r="B21" s="81" t="str">
        <f>"TV after Year "&amp;G4</f>
        <v>TV after Year 1</v>
      </c>
      <c r="C21" s="272" t="s">
        <v>366</v>
      </c>
      <c r="D21" s="38" t="s">
        <v>333</v>
      </c>
      <c r="E21" s="273" t="s">
        <v>199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253</v>
      </c>
      <c r="C22" s="274">
        <v>10</v>
      </c>
      <c r="D22" s="275">
        <f>C22*0.5*D4*Data!C4/Common_Shares</f>
        <v>4.959209036094272</v>
      </c>
      <c r="E22" s="244">
        <f>IF(D22="",IF(G9&lt;0,G9,G9*C22/G11),D22)</f>
        <v>4.959209036094272</v>
      </c>
      <c r="F22" s="244">
        <f ca="1">SUM(D12:F12)+E22+$G$16</f>
        <v>-1.0335592821327459</v>
      </c>
      <c r="G22" s="278">
        <f ca="1">F22*Exchange_Rate</f>
        <v>-1.1265796175246932</v>
      </c>
      <c r="I22" s="43"/>
    </row>
    <row r="23" spans="1:9" ht="15.75" customHeight="1">
      <c r="B23" s="132" t="s">
        <v>254</v>
      </c>
      <c r="C23" s="276">
        <v>15</v>
      </c>
      <c r="D23" s="277">
        <f>C23*0.5*D4*Data!C4/Common_Shares</f>
        <v>7.438813554141408</v>
      </c>
      <c r="E23" s="98">
        <f>IF(D23="",IF(G9&lt;0,G9,G9*C23/G11),D23)</f>
        <v>7.438813554141408</v>
      </c>
      <c r="F23" s="98">
        <f ca="1">SUM(D12:F12)+E23+$G$16</f>
        <v>1.44604523591439</v>
      </c>
      <c r="G23" s="279">
        <f ca="1">F23*Exchange_Rate</f>
        <v>1.5761893071466853</v>
      </c>
      <c r="I23" s="43"/>
    </row>
    <row r="24" spans="1:9" ht="15.5" customHeight="1">
      <c r="C24" s="6"/>
      <c r="D24" s="6"/>
      <c r="E24" s="395" t="s">
        <v>342</v>
      </c>
      <c r="F24" s="396"/>
      <c r="G24" s="143">
        <f ca="1">MIN(G22,G23)+ABS(G22-G23)*'Qualitative Analysis'!$E$64</f>
        <v>7.9048377801932412E-2</v>
      </c>
    </row>
    <row r="25" spans="1:9" ht="15.75" customHeight="1"/>
    <row r="26" spans="1:9" ht="15.75" customHeight="1">
      <c r="A26" s="4"/>
      <c r="B26" s="56" t="s">
        <v>305</v>
      </c>
      <c r="C26" s="115" t="s">
        <v>223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9">
        <f>C3</f>
        <v>44926</v>
      </c>
      <c r="D27" s="199">
        <f>D3</f>
        <v>45291</v>
      </c>
      <c r="E27" s="199" t="str">
        <f>E3</f>
        <v/>
      </c>
      <c r="F27" s="199" t="str">
        <f>F3</f>
        <v/>
      </c>
      <c r="G27" s="200" t="str">
        <f>G3</f>
        <v>Terminal Value</v>
      </c>
      <c r="I27" s="43" t="s">
        <v>327</v>
      </c>
    </row>
    <row r="28" spans="1:9" ht="15.75" customHeight="1">
      <c r="B28" s="5" t="s">
        <v>128</v>
      </c>
      <c r="C28" s="51">
        <f>C8</f>
        <v>334419.19939999998</v>
      </c>
      <c r="D28" s="51">
        <f>D8</f>
        <v>94528.197780000395</v>
      </c>
      <c r="E28" s="51" t="str">
        <f>E8</f>
        <v/>
      </c>
      <c r="F28" s="51" t="str">
        <f>F8</f>
        <v/>
      </c>
      <c r="G28" s="161">
        <f>D28*1.02</f>
        <v>96418.761735600405</v>
      </c>
      <c r="I28" s="43" t="s">
        <v>324</v>
      </c>
    </row>
    <row r="29" spans="1:9" ht="15.75" customHeight="1">
      <c r="B29" s="141" t="s">
        <v>306</v>
      </c>
      <c r="C29" s="180">
        <v>0.04</v>
      </c>
      <c r="D29" s="212">
        <v>0.04</v>
      </c>
      <c r="E29" s="180"/>
      <c r="F29" s="212"/>
      <c r="G29" s="212">
        <v>0.04</v>
      </c>
      <c r="I29" s="43"/>
    </row>
    <row r="30" spans="1:9" ht="15.75" customHeight="1">
      <c r="B30" s="141" t="s">
        <v>315</v>
      </c>
      <c r="C30" s="95">
        <f>MAX(Asset_Model!D52,0)</f>
        <v>7211519</v>
      </c>
      <c r="D30" s="150">
        <f>C30*1.05</f>
        <v>7572094.9500000002</v>
      </c>
      <c r="E30" s="161"/>
      <c r="F30" s="161"/>
      <c r="G30" s="161">
        <f>IF(F30&lt;&gt;"",F30,IF(E30&lt;&gt;"",E30,D30))*1.05</f>
        <v>7950699.6975000007</v>
      </c>
      <c r="I30" s="43" t="s">
        <v>316</v>
      </c>
    </row>
    <row r="31" spans="1:9" ht="15.75" customHeight="1">
      <c r="B31" s="141" t="s">
        <v>320</v>
      </c>
      <c r="C31" s="171">
        <f>Projections!F17</f>
        <v>0.25</v>
      </c>
      <c r="D31" s="171">
        <f>Projections!G17</f>
        <v>0.25</v>
      </c>
      <c r="E31" s="171" t="str">
        <f>Projections!H17</f>
        <v/>
      </c>
      <c r="F31" s="171" t="str">
        <f>Projections!I17</f>
        <v/>
      </c>
      <c r="G31" s="171">
        <f>IF(F31&lt;&gt;"",F31,IF(E31&lt;&gt;"",E31,D31))</f>
        <v>0.25</v>
      </c>
      <c r="I31" s="43"/>
    </row>
    <row r="32" spans="1:9" ht="15.75" customHeight="1" thickBot="1">
      <c r="B32" s="142" t="s">
        <v>319</v>
      </c>
      <c r="C32" s="284">
        <f>C30*(C29*(1-Projections!F17))</f>
        <v>216345.56999999998</v>
      </c>
      <c r="D32" s="284">
        <f>(D30*D29)*(1-D31)</f>
        <v>227162.84850000002</v>
      </c>
      <c r="E32" s="285" t="str">
        <f>IF(E28="","",(E30*E29)*(1-E31))</f>
        <v/>
      </c>
      <c r="F32" s="285" t="str">
        <f>IF(F28="","",(F30*F29)*(1-F31))</f>
        <v/>
      </c>
      <c r="G32" s="284">
        <f>(G30*G29)*(1-Projections!G17)</f>
        <v>238520.99092499999</v>
      </c>
      <c r="I32" s="43"/>
    </row>
    <row r="33" spans="1:9" ht="15.75" customHeight="1" thickTop="1">
      <c r="B33" s="141" t="s">
        <v>307</v>
      </c>
      <c r="C33" s="51">
        <f>C28-C32</f>
        <v>118073.62940000001</v>
      </c>
      <c r="D33" s="215">
        <f>D28-D32</f>
        <v>-132634.65071999963</v>
      </c>
      <c r="E33" s="215" t="str">
        <f>IF(E28="","",E28-E32)</f>
        <v/>
      </c>
      <c r="F33" s="215" t="str">
        <f>IF(F28="","",F28-F32)</f>
        <v/>
      </c>
      <c r="G33" s="280">
        <f>G28-G32</f>
        <v>-142102.22918939957</v>
      </c>
      <c r="I33" s="43" t="s">
        <v>311</v>
      </c>
    </row>
    <row r="34" spans="1:9" ht="15.75" customHeight="1">
      <c r="B34" s="120" t="s">
        <v>308</v>
      </c>
      <c r="C34" s="139">
        <f>C33/(Common_Shares/Data!$C$4)</f>
        <v>0.12025198104949771</v>
      </c>
      <c r="D34" s="251">
        <f>D33/(Common_Shares/Data!$C$4)</f>
        <v>-0.13508164004051645</v>
      </c>
      <c r="E34" s="251" t="str">
        <f>IF(E33="","",E33/(Common_Shares/Data!$C$4))</f>
        <v/>
      </c>
      <c r="F34" s="251" t="str">
        <f>IF(F33="","",F33/(Common_Shares/Data!$C$4))</f>
        <v/>
      </c>
      <c r="G34" s="139">
        <f>G33/(Common_Shares/Data!$C$4)</f>
        <v>-0.14472388676802253</v>
      </c>
      <c r="H34" s="6"/>
      <c r="I34" s="43"/>
    </row>
    <row r="35" spans="1:9" ht="15.75" customHeight="1">
      <c r="B35" s="141" t="s">
        <v>313</v>
      </c>
      <c r="C35" s="281">
        <f>Dashboard!C31</f>
        <v>2</v>
      </c>
      <c r="D35" s="149">
        <f ca="1">D10</f>
        <v>9.6000000000000002E-2</v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312</v>
      </c>
      <c r="C36" s="75"/>
      <c r="D36" s="286">
        <f ca="1">C35*D35</f>
        <v>0.192</v>
      </c>
      <c r="E36" s="286" t="str">
        <f>IF(E35="","", $D$36)</f>
        <v/>
      </c>
      <c r="F36" s="286" t="str">
        <f>IF(F35="","", $D$36)</f>
        <v/>
      </c>
      <c r="G36" s="286">
        <f ca="1">D36</f>
        <v>0.192</v>
      </c>
      <c r="H36" s="6"/>
      <c r="I36" s="43"/>
    </row>
    <row r="37" spans="1:9" ht="15.75" customHeight="1" thickTop="1">
      <c r="B37" s="5" t="s">
        <v>309</v>
      </c>
      <c r="C37" s="282">
        <f>'Qualitative Analysis'!E64^2</f>
        <v>0.19897971938775511</v>
      </c>
      <c r="D37" s="251">
        <f ca="1">D34-D36</f>
        <v>-0.32708164004051643</v>
      </c>
      <c r="E37" s="251" t="str">
        <f>IF(E34="","",E34-E36)</f>
        <v/>
      </c>
      <c r="F37" s="251" t="str">
        <f>IF(F34="","",F34-F36)</f>
        <v/>
      </c>
      <c r="G37" s="283">
        <f ca="1">G34-G36</f>
        <v>-0.33672388676802256</v>
      </c>
      <c r="I37" s="43" t="s">
        <v>310</v>
      </c>
    </row>
    <row r="38" spans="1:9" ht="15.75" customHeight="1">
      <c r="B38" s="5" t="s">
        <v>130</v>
      </c>
      <c r="C38" s="144"/>
      <c r="D38" s="149">
        <f ca="1">D11</f>
        <v>1.0960000000000001</v>
      </c>
      <c r="E38" s="149" t="str">
        <f>E11</f>
        <v/>
      </c>
      <c r="F38" s="149" t="str">
        <f>F11</f>
        <v/>
      </c>
      <c r="G38" s="149">
        <f ca="1">IF(F30="",IF(E30="",D38,E38),F38)*(1+G35-C37)</f>
        <v>0.98313422755102053</v>
      </c>
      <c r="I38" s="43"/>
    </row>
    <row r="39" spans="1:9" ht="15.75" customHeight="1">
      <c r="B39" s="85" t="s">
        <v>318</v>
      </c>
      <c r="C39" s="145"/>
      <c r="D39" s="287">
        <f ca="1">D37/D38</f>
        <v>-0.29843215332163908</v>
      </c>
      <c r="E39" s="287" t="str">
        <f>IF(E37="","",E37/E38)</f>
        <v/>
      </c>
      <c r="F39" s="287" t="str">
        <f>IF(F37="","",F37/F38)</f>
        <v/>
      </c>
      <c r="G39" s="287">
        <f ca="1">G37/G38</f>
        <v>-0.34250042093112665</v>
      </c>
      <c r="I39" s="43"/>
    </row>
    <row r="40" spans="1:9" ht="15.75" customHeight="1">
      <c r="B40" s="20" t="s">
        <v>340</v>
      </c>
      <c r="C40" s="6"/>
      <c r="D40" s="6"/>
      <c r="E40" s="397" t="s">
        <v>328</v>
      </c>
      <c r="F40" s="375"/>
      <c r="G40" s="288">
        <f>Asset_Model!D7</f>
        <v>0</v>
      </c>
    </row>
    <row r="41" spans="1:9" ht="15.75" customHeight="1">
      <c r="C41" s="6"/>
      <c r="D41" s="6"/>
      <c r="E41" s="395" t="s">
        <v>314</v>
      </c>
      <c r="F41" s="395"/>
      <c r="G41" s="289">
        <f ca="1">MAX((G40+SUM(D39:G39))*Exchange_Rate,0)</f>
        <v>0</v>
      </c>
    </row>
    <row r="42" spans="1:9" ht="15.75" customHeight="1"/>
    <row r="43" spans="1:9" ht="15.75" customHeight="1">
      <c r="A43" s="4"/>
      <c r="B43" s="261" t="s">
        <v>341</v>
      </c>
      <c r="C43" s="6"/>
      <c r="D43" s="6"/>
      <c r="E43" s="22" t="s">
        <v>194</v>
      </c>
      <c r="F43" s="22" t="s">
        <v>334</v>
      </c>
      <c r="G43" s="22" t="s">
        <v>335</v>
      </c>
      <c r="H43" s="84"/>
      <c r="I43" s="104"/>
    </row>
    <row r="44" spans="1:9" ht="15.75" customHeight="1">
      <c r="B44" s="76" t="s">
        <v>284</v>
      </c>
      <c r="C44" s="268">
        <f ca="1">MIN(G24,G41)+ABS(G24-G41)*'Qualitative Analysis'!$E$8</f>
        <v>4.1895640235024179E-2</v>
      </c>
      <c r="D44" s="269" t="str">
        <f>Dashboard!J4</f>
        <v>HKD</v>
      </c>
      <c r="E44" s="270">
        <f ca="1">(C44-G16)/C9</f>
        <v>17.976225764019031</v>
      </c>
      <c r="F44" s="270">
        <f ca="1">C44/(Data!C29*Exchange_Rate*Data!C4/Common_Shares)</f>
        <v>6.4815791634440685E-3</v>
      </c>
      <c r="G44" s="270">
        <f ca="1">C44/(Data!C7*Data!C4*Exchange_Rate/Common_Shares)</f>
        <v>5.0034206588789321E-3</v>
      </c>
      <c r="I44" s="43"/>
    </row>
    <row r="45" spans="1:9" ht="15.75" customHeight="1">
      <c r="B45" s="6" t="s">
        <v>321</v>
      </c>
      <c r="C45" s="262">
        <f>D4*Data!C4*1.4/Common_Shares*Exchange_Rate</f>
        <v>1.513550597815972</v>
      </c>
      <c r="D45" s="263" t="str">
        <f>D44</f>
        <v>HKD</v>
      </c>
      <c r="E45" s="228">
        <f>(C45-G16)/C9</f>
        <v>22.297138228242531</v>
      </c>
      <c r="F45" s="228">
        <f>C45/(Asset_Model!I3*Exchange_Rate*Data!C4/Common_Shares)</f>
        <v>0.2475377985800512</v>
      </c>
      <c r="G45" s="228">
        <f>C45/(Data!C7*Data!C4*Exchange_Rate/Common_Shares)</f>
        <v>0.18075700208634421</v>
      </c>
      <c r="I45" s="43"/>
    </row>
    <row r="46" spans="1:9" ht="15.75" customHeight="1">
      <c r="B46" s="264" t="s">
        <v>322</v>
      </c>
      <c r="C46" s="265">
        <f ca="1">MIN(C45,C44)+ABS(C45-C44)*'Qualitative Analysis'!E64</f>
        <v>0.6983588695273828</v>
      </c>
      <c r="D46" s="263" t="str">
        <f>D45</f>
        <v>HKD</v>
      </c>
      <c r="E46" s="228">
        <f ca="1">(C46-G16)/C9</f>
        <v>19.9036613596673</v>
      </c>
      <c r="F46" s="228">
        <f ca="1">C46/(Asset_Model!I3*Exchange_Rate*Data!C4/Common_Shares)</f>
        <v>0.11421502355528143</v>
      </c>
      <c r="G46" s="228">
        <f ca="1">C46/(Data!C7*Data!C4*Exchange_Rate/Common_Shares)</f>
        <v>8.3402071802773273E-2</v>
      </c>
    </row>
    <row r="47" spans="1:9" ht="15.75" customHeight="1">
      <c r="B47" s="84" t="s">
        <v>285</v>
      </c>
      <c r="C47" s="266">
        <f ca="1">MAX(G41,C44)/(1+Dashboard!I14)</f>
        <v>3.3516512188019341E-2</v>
      </c>
      <c r="D47" s="267" t="str">
        <f>D45</f>
        <v>HKD</v>
      </c>
      <c r="E47" s="229">
        <f ca="1">(C47-G16)/C9</f>
        <v>17.951623883917229</v>
      </c>
      <c r="F47" s="229">
        <f ca="1">C47/(Asset_Model!I3*Exchange_Rate*Data!C4/Common_Shares)</f>
        <v>5.4815502402599699E-3</v>
      </c>
      <c r="G47" s="229">
        <f ca="1">C47/(Data!C7*Data!C4*Exchange_Rate/Common_Shares)</f>
        <v>4.0027365271031456E-3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22:G23">
    <cfRule type="cellIs" dxfId="2" priority="3" operator="equal">
      <formula>#REF!</formula>
    </cfRule>
  </conditionalFormatting>
  <conditionalFormatting sqref="E4:F12 E28:F39">
    <cfRule type="containsBlanks" dxfId="1" priority="17">
      <formula>LEN(TRIM(E4))=0</formula>
    </cfRule>
  </conditionalFormatting>
  <conditionalFormatting sqref="G28:G32">
    <cfRule type="containsBlanks" dxfId="0" priority="4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F27" sqref="F2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131</v>
      </c>
      <c r="C2" s="59"/>
      <c r="D2" s="12"/>
      <c r="E2" s="6"/>
      <c r="G2" s="42" t="s">
        <v>122</v>
      </c>
    </row>
    <row r="3" spans="1:7" ht="14">
      <c r="B3" s="6" t="s">
        <v>236</v>
      </c>
      <c r="C3" s="60"/>
      <c r="D3" s="58">
        <f>IF(E3="Strongly disagree",0,IF(E3="disagree",1,IF(E3="unclear",2,IF(E3="agree",3,4))))</f>
        <v>3</v>
      </c>
      <c r="E3" s="221" t="s">
        <v>133</v>
      </c>
      <c r="G3" s="47" t="s">
        <v>260</v>
      </c>
    </row>
    <row r="4" spans="1:7" ht="14">
      <c r="B4" s="6" t="s">
        <v>238</v>
      </c>
      <c r="C4" s="60"/>
      <c r="D4" s="58">
        <f t="shared" ref="D4" si="0">IF(E4="Strongly disagree",0,IF(E4="disagree",1,IF(E4="unclear",2,IF(E4="agree",3,4))))</f>
        <v>2</v>
      </c>
      <c r="E4" s="175" t="s">
        <v>132</v>
      </c>
      <c r="G4" s="45"/>
    </row>
    <row r="5" spans="1:7" ht="14">
      <c r="B5" s="6" t="s">
        <v>233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234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235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134</v>
      </c>
      <c r="C8" s="60"/>
      <c r="D8" s="58">
        <f>AVERAGE(D3:D7)</f>
        <v>2.12</v>
      </c>
      <c r="E8" s="220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135</v>
      </c>
      <c r="C10" s="16"/>
      <c r="D10" s="16"/>
      <c r="E10" s="12"/>
      <c r="G10" s="119"/>
    </row>
    <row r="11" spans="1:7" ht="15" customHeight="1">
      <c r="B11" s="62" t="s">
        <v>136</v>
      </c>
      <c r="C11" s="57"/>
      <c r="E11" s="6"/>
      <c r="G11" s="119"/>
    </row>
    <row r="12" spans="1:7" ht="15" customHeight="1">
      <c r="B12" s="32" t="s">
        <v>237</v>
      </c>
      <c r="D12" s="63">
        <f>IF(E12="Strongly disagree",0,IF(E12="disagree",1,IF(E12="unclear",2,IF(E12="agree",3,4))))</f>
        <v>0</v>
      </c>
      <c r="E12" s="175" t="s">
        <v>155</v>
      </c>
      <c r="F12" s="6"/>
      <c r="G12" s="119"/>
    </row>
    <row r="13" spans="1:7" ht="15" customHeight="1">
      <c r="B13" s="32" t="s">
        <v>137</v>
      </c>
      <c r="D13" s="63">
        <f>IF(E13="Strongly disagree",0,IF(E13="disagree",1,IF(E13="unclear",2,IF(E13="agree",3,4))))</f>
        <v>4</v>
      </c>
      <c r="E13" s="175" t="s">
        <v>142</v>
      </c>
      <c r="F13" s="6"/>
      <c r="G13" s="119"/>
    </row>
    <row r="14" spans="1:7" ht="15" customHeight="1">
      <c r="B14" s="32" t="s">
        <v>138</v>
      </c>
      <c r="D14" s="63">
        <f>IF(E14="Strongly disagree",0,IF(E14="disagree",1,IF(E14="unclear",2,IF(E14="agree",3,4))))</f>
        <v>3</v>
      </c>
      <c r="E14" s="175" t="s">
        <v>133</v>
      </c>
      <c r="F14" s="6"/>
      <c r="G14" s="119" t="s">
        <v>347</v>
      </c>
    </row>
    <row r="15" spans="1:7" ht="15" customHeight="1">
      <c r="B15" s="32" t="s">
        <v>139</v>
      </c>
      <c r="D15" s="63">
        <f>IF(E15="Strongly disagree",0,IF(E15="disagree",1,IF(E15="unclear",2,IF(E15="agree",3,4))))</f>
        <v>0</v>
      </c>
      <c r="E15" s="175" t="s">
        <v>155</v>
      </c>
      <c r="F15" s="6"/>
      <c r="G15" s="119" t="s">
        <v>348</v>
      </c>
    </row>
    <row r="16" spans="1:7" ht="15" customHeight="1">
      <c r="B16" s="32" t="s">
        <v>141</v>
      </c>
      <c r="D16" s="63">
        <f>IF(E16="Strongly disagree",0,IF(E16="disagree",1,IF(E16="unclear",2,IF(E16="agree",3,4))))</f>
        <v>3</v>
      </c>
      <c r="E16" s="175" t="s">
        <v>133</v>
      </c>
      <c r="F16" s="6"/>
      <c r="G16" s="119"/>
    </row>
    <row r="17" spans="2:7" ht="15" customHeight="1">
      <c r="B17" s="62" t="s">
        <v>143</v>
      </c>
      <c r="D17" s="25"/>
      <c r="E17" s="18"/>
      <c r="G17" s="119"/>
    </row>
    <row r="18" spans="2:7" ht="15" customHeight="1">
      <c r="B18" s="32" t="s">
        <v>257</v>
      </c>
      <c r="D18" s="63">
        <f>Asset_Model!J26</f>
        <v>2</v>
      </c>
      <c r="E18" s="18" t="str">
        <f>IF(D18&gt;=3.5,"Strongly agree",IF(D18&gt;=2.5,"agree",IF(D18&gt;=1.5,"unclear",IF(D18&gt;=0.5,"disagree","Strongly disagree"))))</f>
        <v>unclear</v>
      </c>
      <c r="F18" s="6"/>
      <c r="G18" s="119"/>
    </row>
    <row r="19" spans="2:7" ht="15" customHeight="1">
      <c r="B19" s="32" t="s">
        <v>144</v>
      </c>
      <c r="D19" s="63">
        <f t="shared" ref="D19:D22" si="1">IF(E19="Strongly disagree",0,IF(E19="disagree",1,IF(E19="unclear",2,IF(E19="agree",3,4))))</f>
        <v>2</v>
      </c>
      <c r="E19" s="175" t="s">
        <v>132</v>
      </c>
      <c r="F19" s="6"/>
      <c r="G19" s="119" t="s">
        <v>357</v>
      </c>
    </row>
    <row r="20" spans="2:7" ht="15" customHeight="1">
      <c r="B20" s="32" t="s">
        <v>145</v>
      </c>
      <c r="D20" s="63">
        <f t="shared" si="1"/>
        <v>0</v>
      </c>
      <c r="E20" s="175" t="s">
        <v>155</v>
      </c>
      <c r="F20" s="6"/>
      <c r="G20" s="119" t="s">
        <v>349</v>
      </c>
    </row>
    <row r="21" spans="2:7" ht="15" customHeight="1">
      <c r="B21" s="32" t="s">
        <v>146</v>
      </c>
      <c r="D21" s="63">
        <f t="shared" si="1"/>
        <v>2</v>
      </c>
      <c r="E21" s="175" t="s">
        <v>132</v>
      </c>
      <c r="F21" s="6"/>
      <c r="G21" s="119"/>
    </row>
    <row r="22" spans="2:7" ht="15" customHeight="1">
      <c r="B22" s="32" t="s">
        <v>147</v>
      </c>
      <c r="D22" s="63">
        <f t="shared" si="1"/>
        <v>1</v>
      </c>
      <c r="E22" s="175" t="s">
        <v>140</v>
      </c>
      <c r="F22" s="6"/>
      <c r="G22" s="119"/>
    </row>
    <row r="23" spans="2:7" ht="15" customHeight="1">
      <c r="B23" s="62" t="s">
        <v>148</v>
      </c>
      <c r="D23" s="25"/>
      <c r="E23" s="18"/>
      <c r="G23" s="119"/>
    </row>
    <row r="24" spans="2:7" ht="15" customHeight="1">
      <c r="B24" s="32" t="s">
        <v>149</v>
      </c>
      <c r="D24" s="63">
        <f t="shared" ref="D24:D28" si="2">IF(E24="Strongly disagree",0,IF(E24="disagree",1,IF(E24="unclear",2,IF(E24="agree",3,4))))</f>
        <v>0</v>
      </c>
      <c r="E24" s="175" t="s">
        <v>155</v>
      </c>
      <c r="F24" s="6"/>
      <c r="G24" s="119"/>
    </row>
    <row r="25" spans="2:7" ht="15" customHeight="1">
      <c r="B25" s="32" t="s">
        <v>150</v>
      </c>
      <c r="D25" s="63">
        <f t="shared" si="2"/>
        <v>2</v>
      </c>
      <c r="E25" s="175" t="s">
        <v>132</v>
      </c>
      <c r="F25" s="6"/>
      <c r="G25" s="119"/>
    </row>
    <row r="26" spans="2:7" ht="15" customHeight="1">
      <c r="B26" s="32" t="s">
        <v>239</v>
      </c>
      <c r="D26" s="63">
        <f t="shared" si="2"/>
        <v>2</v>
      </c>
      <c r="E26" s="175" t="s">
        <v>132</v>
      </c>
      <c r="F26" s="6"/>
      <c r="G26" s="119"/>
    </row>
    <row r="27" spans="2:7" ht="15" customHeight="1">
      <c r="B27" s="32" t="s">
        <v>240</v>
      </c>
      <c r="D27" s="63">
        <f t="shared" si="2"/>
        <v>3</v>
      </c>
      <c r="E27" s="175" t="s">
        <v>133</v>
      </c>
      <c r="F27" s="6"/>
      <c r="G27" s="119"/>
    </row>
    <row r="28" spans="2:7" ht="15" customHeight="1">
      <c r="B28" s="32" t="s">
        <v>151</v>
      </c>
      <c r="D28" s="63">
        <f t="shared" si="2"/>
        <v>1</v>
      </c>
      <c r="E28" s="175" t="s">
        <v>140</v>
      </c>
      <c r="F28" s="6"/>
      <c r="G28" s="119"/>
    </row>
    <row r="29" spans="2:7" ht="15" customHeight="1">
      <c r="B29" s="62" t="s">
        <v>152</v>
      </c>
      <c r="D29" s="25"/>
      <c r="E29" s="18"/>
      <c r="G29" s="119"/>
    </row>
    <row r="30" spans="2:7" ht="15" customHeight="1">
      <c r="B30" s="1" t="s">
        <v>153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154</v>
      </c>
      <c r="D31" s="63">
        <f t="shared" ref="D31:D35" si="3">IF(E31="Strongly disagree",0,IF(E31="disagree",1,IF(E31="unclear",2,IF(E31="agree",3,4))))</f>
        <v>0</v>
      </c>
      <c r="E31" s="175" t="s">
        <v>155</v>
      </c>
      <c r="F31" s="6"/>
      <c r="G31" s="119"/>
    </row>
    <row r="32" spans="2:7" ht="15" customHeight="1">
      <c r="B32" s="32" t="s">
        <v>241</v>
      </c>
      <c r="D32" s="63">
        <f t="shared" si="3"/>
        <v>2</v>
      </c>
      <c r="E32" s="175" t="s">
        <v>132</v>
      </c>
      <c r="F32" s="6"/>
      <c r="G32" s="119"/>
    </row>
    <row r="33" spans="2:7" ht="15" customHeight="1">
      <c r="B33" s="32" t="s">
        <v>242</v>
      </c>
      <c r="D33" s="63">
        <f t="shared" si="3"/>
        <v>0</v>
      </c>
      <c r="E33" s="175" t="s">
        <v>155</v>
      </c>
      <c r="F33" s="6"/>
      <c r="G33" s="119"/>
    </row>
    <row r="34" spans="2:7" ht="15" customHeight="1">
      <c r="B34" s="32" t="s">
        <v>243</v>
      </c>
      <c r="D34" s="63">
        <f t="shared" si="3"/>
        <v>2</v>
      </c>
      <c r="E34" s="175" t="s">
        <v>132</v>
      </c>
      <c r="F34" s="6"/>
      <c r="G34" s="119"/>
    </row>
    <row r="35" spans="2:7" ht="15" customHeight="1">
      <c r="B35" s="32" t="s">
        <v>259</v>
      </c>
      <c r="D35" s="63">
        <f t="shared" si="3"/>
        <v>3</v>
      </c>
      <c r="E35" s="175" t="s">
        <v>133</v>
      </c>
      <c r="G35" s="119"/>
    </row>
    <row r="36" spans="2:7" ht="15" customHeight="1">
      <c r="B36" s="1" t="s">
        <v>156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157</v>
      </c>
      <c r="D37" s="63">
        <f t="shared" ref="D37:D41" si="4">IF(E37="Strongly disagree",0,IF(E37="disagree",1,IF(E37="unclear",2,IF(E37="agree",3,4))))</f>
        <v>4</v>
      </c>
      <c r="E37" s="175" t="s">
        <v>142</v>
      </c>
      <c r="F37" s="6"/>
      <c r="G37" s="119"/>
    </row>
    <row r="38" spans="2:7" ht="15" customHeight="1">
      <c r="B38" s="32" t="s">
        <v>244</v>
      </c>
      <c r="D38" s="63">
        <f t="shared" si="4"/>
        <v>4</v>
      </c>
      <c r="E38" s="175" t="s">
        <v>142</v>
      </c>
      <c r="F38" s="6"/>
      <c r="G38" s="119"/>
    </row>
    <row r="39" spans="2:7" ht="15" customHeight="1">
      <c r="B39" s="32" t="s">
        <v>245</v>
      </c>
      <c r="D39" s="63">
        <f t="shared" si="4"/>
        <v>4</v>
      </c>
      <c r="E39" s="175" t="s">
        <v>142</v>
      </c>
      <c r="F39" s="6"/>
      <c r="G39" s="119"/>
    </row>
    <row r="40" spans="2:7" ht="15" customHeight="1">
      <c r="B40" s="32" t="s">
        <v>246</v>
      </c>
      <c r="D40" s="63">
        <f t="shared" si="4"/>
        <v>4</v>
      </c>
      <c r="E40" s="175" t="s">
        <v>142</v>
      </c>
      <c r="F40" s="6"/>
      <c r="G40" s="119"/>
    </row>
    <row r="41" spans="2:7" ht="15" customHeight="1">
      <c r="B41" s="32" t="s">
        <v>247</v>
      </c>
      <c r="D41" s="63">
        <f t="shared" si="4"/>
        <v>0</v>
      </c>
      <c r="E41" s="175" t="s">
        <v>155</v>
      </c>
      <c r="G41" s="119"/>
    </row>
    <row r="42" spans="2:7" ht="15" customHeight="1">
      <c r="B42" s="1" t="s">
        <v>158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159</v>
      </c>
      <c r="D43" s="63">
        <f t="shared" ref="D43:D48" si="5">IF(E43="Strongly disagree",0,IF(E43="disagree",1,IF(E43="unclear",2,IF(E43="agree",3,4))))</f>
        <v>3</v>
      </c>
      <c r="E43" s="175" t="s">
        <v>133</v>
      </c>
      <c r="F43" s="6"/>
      <c r="G43" s="119"/>
    </row>
    <row r="44" spans="2:7" ht="15" customHeight="1">
      <c r="B44" s="32" t="s">
        <v>160</v>
      </c>
      <c r="D44" s="63">
        <f t="shared" si="5"/>
        <v>1</v>
      </c>
      <c r="E44" s="175" t="s">
        <v>140</v>
      </c>
      <c r="F44" s="6"/>
      <c r="G44" s="119"/>
    </row>
    <row r="45" spans="2:7" ht="15" customHeight="1">
      <c r="B45" s="32" t="s">
        <v>161</v>
      </c>
      <c r="D45" s="63">
        <f t="shared" si="5"/>
        <v>1</v>
      </c>
      <c r="E45" s="175" t="s">
        <v>140</v>
      </c>
      <c r="F45" s="6"/>
      <c r="G45" s="119"/>
    </row>
    <row r="46" spans="2:7" ht="15" customHeight="1">
      <c r="B46" s="32" t="s">
        <v>162</v>
      </c>
      <c r="D46" s="63">
        <f t="shared" si="5"/>
        <v>0</v>
      </c>
      <c r="E46" s="175" t="s">
        <v>155</v>
      </c>
      <c r="F46" s="6"/>
      <c r="G46" s="119"/>
    </row>
    <row r="47" spans="2:7" ht="15" customHeight="1">
      <c r="B47" s="32" t="s">
        <v>163</v>
      </c>
      <c r="D47" s="63">
        <f t="shared" si="5"/>
        <v>3</v>
      </c>
      <c r="E47" s="175" t="s">
        <v>133</v>
      </c>
      <c r="F47" s="6"/>
      <c r="G47" s="119"/>
    </row>
    <row r="48" spans="2:7" ht="15" customHeight="1">
      <c r="B48" s="32" t="s">
        <v>189</v>
      </c>
      <c r="D48" s="63">
        <f t="shared" si="5"/>
        <v>0</v>
      </c>
      <c r="E48" s="175" t="s">
        <v>155</v>
      </c>
      <c r="F48" s="6"/>
      <c r="G48" s="119"/>
    </row>
    <row r="49" spans="2:8" ht="15" customHeight="1">
      <c r="B49" s="1" t="s">
        <v>164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165</v>
      </c>
      <c r="D50" s="63">
        <f t="shared" ref="D50:D52" si="6">IF(E50="Strongly disagree",0,IF(E50="disagree",1,IF(E50="unclear",2,IF(E50="agree",3,4))))</f>
        <v>0</v>
      </c>
      <c r="E50" s="175" t="s">
        <v>155</v>
      </c>
      <c r="G50" s="119"/>
    </row>
    <row r="51" spans="2:8" ht="15" customHeight="1">
      <c r="B51" s="32" t="s">
        <v>166</v>
      </c>
      <c r="D51" s="63">
        <f t="shared" si="6"/>
        <v>0</v>
      </c>
      <c r="E51" s="175" t="s">
        <v>155</v>
      </c>
      <c r="F51" s="6"/>
      <c r="G51" s="119"/>
    </row>
    <row r="52" spans="2:8" ht="15" customHeight="1">
      <c r="B52" s="32" t="s">
        <v>248</v>
      </c>
      <c r="D52" s="63">
        <f t="shared" si="6"/>
        <v>2</v>
      </c>
      <c r="E52" s="175" t="s">
        <v>132</v>
      </c>
      <c r="G52" s="119"/>
    </row>
    <row r="53" spans="2:8" ht="15" customHeight="1">
      <c r="B53" s="32" t="s">
        <v>249</v>
      </c>
      <c r="D53" s="63">
        <f>IF(E53="Strongly disagree",0,IF(E53="disagree",1,IF(E53="unclear",2,IF(E53="agree",3,4))))</f>
        <v>3</v>
      </c>
      <c r="E53" s="175" t="s">
        <v>133</v>
      </c>
      <c r="F53" s="32"/>
      <c r="G53" s="119"/>
      <c r="H53" s="32"/>
    </row>
    <row r="54" spans="2:8" ht="15" customHeight="1">
      <c r="B54" s="32" t="s">
        <v>250</v>
      </c>
      <c r="D54" s="65">
        <f t="array" ref="D54">(1-INDEX(B68:E77,MATCH(E54,B68:B77,0),4))*4</f>
        <v>1.9047619047619047</v>
      </c>
      <c r="E54" s="175" t="s">
        <v>336</v>
      </c>
      <c r="F54" s="32"/>
      <c r="G54" s="119"/>
      <c r="H54" s="32"/>
    </row>
    <row r="55" spans="2:8" ht="15" customHeight="1">
      <c r="B55" s="1" t="s">
        <v>167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168</v>
      </c>
      <c r="D56" s="63">
        <f t="shared" ref="D56:D60" si="7">IF(E56="Strongly disagree",0,IF(E56="disagree",1,IF(E56="unclear",2,IF(E56="agree",3,4))))</f>
        <v>1</v>
      </c>
      <c r="E56" s="175" t="s">
        <v>140</v>
      </c>
      <c r="F56" s="32"/>
      <c r="G56" s="119"/>
      <c r="H56" s="32"/>
    </row>
    <row r="57" spans="2:8" ht="15" customHeight="1">
      <c r="B57" s="32" t="s">
        <v>169</v>
      </c>
      <c r="D57" s="63">
        <f t="shared" si="7"/>
        <v>0</v>
      </c>
      <c r="E57" s="175" t="s">
        <v>155</v>
      </c>
      <c r="F57" s="32"/>
      <c r="G57" s="119"/>
      <c r="H57" s="32"/>
    </row>
    <row r="58" spans="2:8" ht="15" customHeight="1">
      <c r="B58" s="32" t="s">
        <v>190</v>
      </c>
      <c r="D58" s="63">
        <f t="shared" si="7"/>
        <v>1</v>
      </c>
      <c r="E58" s="175" t="s">
        <v>140</v>
      </c>
      <c r="F58" s="32"/>
      <c r="G58" s="119"/>
      <c r="H58" s="32"/>
    </row>
    <row r="59" spans="2:8" ht="15" customHeight="1">
      <c r="B59" s="32" t="s">
        <v>191</v>
      </c>
      <c r="D59" s="63">
        <f t="shared" si="7"/>
        <v>4</v>
      </c>
      <c r="E59" s="175" t="s">
        <v>142</v>
      </c>
      <c r="F59" s="32"/>
      <c r="G59" s="119"/>
      <c r="H59" s="32"/>
    </row>
    <row r="60" spans="2:8" ht="15" customHeight="1">
      <c r="B60" s="32" t="s">
        <v>192</v>
      </c>
      <c r="D60" s="63">
        <f t="shared" si="7"/>
        <v>4</v>
      </c>
      <c r="E60" s="175" t="s">
        <v>142</v>
      </c>
      <c r="F60" s="32"/>
      <c r="G60" s="119"/>
      <c r="H60" s="32"/>
    </row>
    <row r="61" spans="2:8" ht="15" customHeight="1">
      <c r="B61" s="32" t="s">
        <v>193</v>
      </c>
      <c r="D61" s="63">
        <f>IF(E61="Strongly disagree",0,IF(E61="disagree",1,IF(E61="non-perishable",2,IF(E61="agree",3,4))))</f>
        <v>2</v>
      </c>
      <c r="E61" s="175" t="s">
        <v>304</v>
      </c>
      <c r="F61" s="32"/>
      <c r="G61" s="119"/>
      <c r="H61" s="32"/>
    </row>
    <row r="62" spans="2:8" ht="15" customHeight="1">
      <c r="B62" s="87" t="s">
        <v>170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171</v>
      </c>
      <c r="D64" s="58">
        <f>E64*4</f>
        <v>1.7842857142857143</v>
      </c>
      <c r="E64" s="222">
        <f>AVERAGE(AVERAGE(D12:D16)/4,AVERAGE(D18:D22)/4,AVERAGE(D24:D28)/4,D62)</f>
        <v>0.44607142857142856</v>
      </c>
      <c r="G64" s="119"/>
    </row>
    <row r="65" spans="2:7" ht="15" customHeight="1">
      <c r="G65" s="120"/>
    </row>
    <row r="66" spans="2:7" ht="15" customHeight="1">
      <c r="B66" s="33" t="s">
        <v>172</v>
      </c>
      <c r="C66" s="7"/>
      <c r="D66" s="7"/>
      <c r="E66" s="34"/>
    </row>
    <row r="67" spans="2:7" ht="15" customHeight="1">
      <c r="B67" s="67" t="s">
        <v>173</v>
      </c>
      <c r="C67" s="68"/>
      <c r="D67" s="68"/>
      <c r="E67" s="69"/>
    </row>
    <row r="68" spans="2:7" ht="15" customHeight="1">
      <c r="B68" s="70" t="s">
        <v>174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175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176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177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178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179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180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181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182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183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2023-08-24T08:31:50Z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