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CE84179C-CF26-47D5-A4D4-988873991E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0" i="7" l="1"/>
  <c r="C47" i="4"/>
  <c r="E7" i="4"/>
  <c r="D7" i="4"/>
  <c r="C18" i="7"/>
  <c r="C14" i="7"/>
  <c r="E14" i="7" s="1"/>
  <c r="E13" i="7" s="1"/>
  <c r="G14" i="7"/>
  <c r="E10" i="7"/>
  <c r="E7" i="7"/>
  <c r="G7" i="7" s="1"/>
  <c r="E6" i="7"/>
  <c r="G6" i="7" s="1"/>
  <c r="E5" i="7"/>
  <c r="G5" i="7" s="1"/>
  <c r="E4" i="7"/>
  <c r="G4" i="7" s="1"/>
  <c r="J27" i="1" l="1"/>
  <c r="C37" i="1"/>
  <c r="B18" i="1" s="1"/>
  <c r="C29" i="4"/>
  <c r="G30" i="4"/>
  <c r="C31" i="4"/>
  <c r="E30" i="4"/>
  <c r="G8" i="7"/>
  <c r="C35" i="4"/>
  <c r="G27" i="4"/>
  <c r="H4" i="7" l="1"/>
  <c r="H7" i="7"/>
  <c r="H5" i="7"/>
  <c r="H6" i="7"/>
  <c r="E8" i="7"/>
  <c r="G51" i="2"/>
  <c r="H51" i="2"/>
  <c r="I51" i="2"/>
  <c r="J51" i="2"/>
  <c r="K51" i="2"/>
  <c r="L51" i="2"/>
  <c r="M51" i="2"/>
  <c r="F42" i="1"/>
  <c r="F5" i="7" l="1"/>
  <c r="F4" i="7"/>
  <c r="F6" i="7"/>
  <c r="F7" i="7"/>
  <c r="E50" i="2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F28" i="4" s="1"/>
  <c r="F32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9" i="7" s="1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9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D7" i="7" l="1"/>
  <c r="D4" i="7"/>
  <c r="D6" i="7"/>
  <c r="D5" i="7"/>
  <c r="C25" i="3"/>
  <c r="I7" i="3" s="1"/>
  <c r="F33" i="4"/>
  <c r="F34" i="4" s="1"/>
  <c r="F37" i="4" s="1"/>
  <c r="F39" i="4" s="1"/>
  <c r="D47" i="4"/>
  <c r="D49" i="4" s="1"/>
  <c r="C14" i="4"/>
  <c r="B27" i="4"/>
  <c r="D36" i="5"/>
  <c r="E36" i="5" s="1"/>
  <c r="D6" i="5"/>
  <c r="E6" i="5" s="1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18" i="7"/>
  <c r="F31" i="4" s="1"/>
  <c r="C12" i="7"/>
  <c r="C17" i="7" s="1"/>
  <c r="C15" i="7" s="1"/>
  <c r="D52" i="3"/>
  <c r="C17" i="4" s="1"/>
  <c r="C46" i="3"/>
  <c r="E26" i="3"/>
  <c r="D26" i="3" s="1"/>
  <c r="E59" i="3"/>
  <c r="C15" i="4" s="1"/>
  <c r="D15" i="4" s="1"/>
  <c r="F44" i="2"/>
  <c r="E12" i="2"/>
  <c r="C13" i="2"/>
  <c r="C11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6" i="7" s="1"/>
  <c r="C44" i="2"/>
  <c r="E3" i="7"/>
  <c r="C3" i="4"/>
  <c r="C27" i="4" s="1"/>
  <c r="J18" i="1"/>
  <c r="J16" i="1"/>
  <c r="F47" i="4"/>
  <c r="C20" i="4"/>
  <c r="B3" i="7"/>
  <c r="C11" i="1"/>
  <c r="D17" i="4" l="1"/>
  <c r="C30" i="4"/>
  <c r="C32" i="4" s="1"/>
  <c r="D48" i="4"/>
  <c r="E12" i="7"/>
  <c r="E17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E9" i="7"/>
  <c r="C20" i="7"/>
  <c r="C4" i="4" s="1"/>
  <c r="C7" i="4" s="1"/>
  <c r="C18" i="4"/>
  <c r="D18" i="4" s="1"/>
  <c r="D50" i="3"/>
  <c r="E25" i="3"/>
  <c r="D24" i="3"/>
  <c r="D44" i="3"/>
  <c r="D49" i="3"/>
  <c r="F17" i="2"/>
  <c r="F45" i="2"/>
  <c r="E45" i="2"/>
  <c r="E17" i="2"/>
  <c r="E45" i="3" l="1"/>
  <c r="D6" i="3"/>
  <c r="D7" i="3" s="1"/>
  <c r="C28" i="4"/>
  <c r="C33" i="4" s="1"/>
  <c r="C34" i="4" s="1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D31" i="4" l="1"/>
  <c r="D32" i="4" s="1"/>
  <c r="G32" i="4"/>
  <c r="E20" i="7"/>
  <c r="E19" i="7" s="1"/>
  <c r="J26" i="3"/>
  <c r="D18" i="5" s="1"/>
  <c r="E64" i="5" s="1"/>
  <c r="C37" i="4" s="1"/>
  <c r="D4" i="4" l="1"/>
  <c r="E18" i="5"/>
  <c r="D64" i="5"/>
  <c r="E7" i="5" s="1"/>
  <c r="D7" i="5" s="1"/>
  <c r="D8" i="5" s="1"/>
  <c r="E8" i="5" s="1"/>
  <c r="F43" i="1"/>
  <c r="G40" i="4" l="1"/>
  <c r="D28" i="4"/>
  <c r="D33" i="4" s="1"/>
  <c r="D34" i="4" s="1"/>
  <c r="D37" i="4" s="1"/>
  <c r="G16" i="4"/>
  <c r="E47" i="4" s="1"/>
  <c r="D5" i="4"/>
  <c r="F18" i="4"/>
  <c r="D8" i="4"/>
  <c r="D9" i="4" s="1"/>
  <c r="D11" i="4"/>
  <c r="D38" i="4" s="1"/>
  <c r="F41" i="1"/>
  <c r="D39" i="4" l="1"/>
  <c r="E6" i="3"/>
  <c r="F16" i="1"/>
  <c r="H16" i="1" s="1"/>
  <c r="E17" i="4"/>
  <c r="D12" i="4"/>
  <c r="H18" i="1" l="1"/>
  <c r="G10" i="7"/>
  <c r="G9" i="7"/>
  <c r="G3" i="7" s="1"/>
  <c r="E3" i="4" s="1"/>
  <c r="G4" i="4" l="1"/>
  <c r="B21" i="4" s="1"/>
  <c r="G2" i="4" s="1"/>
  <c r="G26" i="4" s="1"/>
  <c r="E27" i="4"/>
  <c r="G12" i="7"/>
  <c r="G17" i="7" s="1"/>
  <c r="G18" i="7" l="1"/>
  <c r="E31" i="4" s="1"/>
  <c r="G31" i="4" s="1"/>
  <c r="G16" i="7"/>
  <c r="G15" i="7"/>
  <c r="G20" i="7" l="1"/>
  <c r="E4" i="4" l="1"/>
  <c r="E28" i="4" s="1"/>
  <c r="E32" i="4" s="1"/>
  <c r="G19" i="7"/>
  <c r="G28" i="4" l="1"/>
  <c r="G33" i="4" s="1"/>
  <c r="G34" i="4" s="1"/>
  <c r="G37" i="4" s="1"/>
  <c r="E33" i="4"/>
  <c r="E34" i="4" s="1"/>
  <c r="E8" i="4"/>
  <c r="E5" i="4"/>
  <c r="E10" i="4"/>
  <c r="E35" i="4" s="1"/>
  <c r="E11" i="4" l="1"/>
  <c r="E38" i="4" s="1"/>
  <c r="G38" i="4" s="1"/>
  <c r="E9" i="4"/>
  <c r="G9" i="4"/>
  <c r="G11" i="4" l="1"/>
  <c r="E23" i="4" s="1"/>
  <c r="F23" i="4" s="1"/>
  <c r="G23" i="4" s="1"/>
  <c r="E12" i="4"/>
  <c r="E22" i="4" l="1"/>
  <c r="F22" i="4" s="1"/>
  <c r="G22" i="4" s="1"/>
  <c r="G24" i="4" s="1"/>
  <c r="E36" i="4" l="1"/>
  <c r="E37" i="4" s="1"/>
  <c r="E39" i="4" l="1"/>
  <c r="G39" i="4" l="1"/>
  <c r="G41" i="4" s="1"/>
  <c r="C44" i="4" l="1"/>
  <c r="C49" i="4" s="1"/>
  <c r="F48" i="1" l="1"/>
  <c r="C48" i="4"/>
  <c r="F48" i="4" s="1"/>
  <c r="E44" i="4"/>
  <c r="F44" i="4"/>
  <c r="E14" i="1"/>
  <c r="F49" i="4"/>
  <c r="I38" i="1"/>
  <c r="E49" i="4"/>
  <c r="E48" i="4" l="1"/>
  <c r="I37" i="1"/>
  <c r="B17" i="1" s="1"/>
  <c r="E48" i="1"/>
  <c r="D18" i="1" l="1"/>
  <c r="E37" i="1"/>
  <c r="F47" i="1"/>
  <c r="E47" i="1"/>
  <c r="E51" i="1" s="1"/>
  <c r="D16" i="1"/>
  <c r="E50" i="1" l="1"/>
  <c r="H17" i="1"/>
  <c r="E52" i="1"/>
  <c r="E53" i="1" s="1"/>
  <c r="F51" i="1"/>
  <c r="F50" i="1"/>
  <c r="F52" i="1"/>
  <c r="D17" i="1"/>
  <c r="J17" i="1"/>
  <c r="F53" i="1" l="1"/>
</calcChain>
</file>

<file path=xl/sharedStrings.xml><?xml version="1.0" encoding="utf-8"?>
<sst xmlns="http://schemas.openxmlformats.org/spreadsheetml/2006/main" count="452" uniqueCount="383">
  <si>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</si>
  <si>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</si>
  <si>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</si>
  <si>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</si>
  <si>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</si>
  <si>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</si>
  <si>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</si>
  <si>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</si>
  <si>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</si>
  <si>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</si>
  <si>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</si>
  <si>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</si>
  <si>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</si>
  <si>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</si>
  <si>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</si>
  <si>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</si>
  <si>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</si>
  <si>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</si>
  <si>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</si>
  <si>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</si>
  <si>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</si>
  <si>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</si>
  <si>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</si>
  <si>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</si>
  <si>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</si>
  <si>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</si>
  <si>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</si>
  <si>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</si>
  <si>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</si>
  <si>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</si>
  <si>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</si>
  <si>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</si>
  <si>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</si>
  <si>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</si>
  <si>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</si>
  <si>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</si>
  <si>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</si>
  <si>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</si>
  <si>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</si>
  <si>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</si>
  <si>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</si>
  <si>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</si>
  <si>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</si>
  <si>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</si>
  <si>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</si>
  <si>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</si>
  <si>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</si>
  <si>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</si>
  <si>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</si>
  <si>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</si>
  <si>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</si>
  <si>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</si>
  <si>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</si>
  <si>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</si>
  <si>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</si>
  <si>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</si>
  <si>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</si>
  <si>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</si>
  <si>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</si>
  <si>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</si>
  <si>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</si>
  <si>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</si>
  <si>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</si>
  <si>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</si>
  <si>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</si>
  <si>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</si>
  <si>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</si>
  <si>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</si>
  <si>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</si>
  <si>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</si>
  <si>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</si>
  <si>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</si>
  <si>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</si>
  <si>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</si>
  <si>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</si>
  <si>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</si>
  <si>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</si>
  <si>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</si>
  <si>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</si>
  <si>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</si>
  <si>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</si>
  <si>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</si>
  <si>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</si>
  <si>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</si>
  <si>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</si>
  <si>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</si>
  <si>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</si>
  <si>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</si>
  <si>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</si>
  <si>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</si>
  <si>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</si>
  <si>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</si>
  <si>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</si>
  <si>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</si>
  <si>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</si>
  <si>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</si>
  <si>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</si>
  <si>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</si>
  <si>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</si>
  <si>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</si>
  <si>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</si>
  <si>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</si>
  <si>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</si>
  <si>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</si>
  <si>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</si>
  <si>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</si>
  <si>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</si>
  <si>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</si>
  <si>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</si>
  <si>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</si>
  <si>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</si>
  <si>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</si>
  <si>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</si>
  <si>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</si>
  <si>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</si>
  <si>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</si>
  <si>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</si>
  <si>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</si>
  <si>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</si>
  <si>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</si>
  <si>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</si>
  <si>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</si>
  <si>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</si>
  <si>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</si>
  <si>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</si>
  <si>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</si>
  <si>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</si>
  <si>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</si>
  <si>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</si>
  <si>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</si>
  <si>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</si>
  <si>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</si>
  <si>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</si>
  <si>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</si>
  <si>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</si>
  <si>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</si>
  <si>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</si>
  <si>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</si>
  <si>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</si>
  <si>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</si>
  <si>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</si>
  <si>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</si>
  <si>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</si>
  <si>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</si>
  <si>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</si>
  <si>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</si>
  <si>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</si>
  <si>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</si>
  <si>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</si>
  <si>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</si>
  <si>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</si>
  <si>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</si>
  <si>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</si>
  <si>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</si>
  <si>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</si>
  <si>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</si>
  <si>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</si>
  <si>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</si>
  <si>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</si>
  <si>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</si>
  <si>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</si>
  <si>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</si>
  <si>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</si>
  <si>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</si>
  <si>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</si>
  <si>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</si>
  <si>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</si>
  <si>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</si>
  <si>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</si>
  <si>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</si>
  <si>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</si>
  <si>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</si>
  <si>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</si>
  <si>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</si>
  <si>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</si>
  <si>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</si>
  <si>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</si>
  <si>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</si>
  <si>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</si>
  <si>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</si>
  <si>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</si>
  <si>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</si>
  <si>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</si>
  <si>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</si>
  <si>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</si>
  <si>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</si>
  <si>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</si>
  <si>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</si>
  <si>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</si>
  <si>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</si>
  <si>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</si>
  <si>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</si>
  <si>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</si>
  <si>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</si>
  <si>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</si>
  <si>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</si>
  <si>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</si>
  <si>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</si>
  <si>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</si>
  <si>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</si>
  <si>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</si>
  <si>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</si>
  <si>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</si>
  <si>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</si>
  <si>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</si>
  <si>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</si>
  <si>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</si>
  <si>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</si>
  <si>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</si>
  <si>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</si>
  <si>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</si>
  <si>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</si>
  <si>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</si>
  <si>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</si>
  <si>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</si>
  <si>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</si>
  <si>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</si>
  <si>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</si>
  <si>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</si>
  <si>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</si>
  <si>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</si>
  <si>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</si>
  <si>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</si>
  <si>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</si>
  <si>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</si>
  <si>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</si>
  <si>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</si>
  <si>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</si>
  <si>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</si>
  <si>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</si>
  <si>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</si>
  <si>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</si>
  <si>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</si>
  <si>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</si>
  <si>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</si>
  <si>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</si>
  <si>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</si>
  <si>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</si>
  <si>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</si>
  <si>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</si>
  <si>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</si>
  <si>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</si>
  <si>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</si>
  <si>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</si>
  <si>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</si>
  <si>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</si>
  <si>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</si>
  <si>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</si>
  <si>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</si>
  <si>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</si>
  <si>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</si>
  <si>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</si>
  <si>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</si>
  <si>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</si>
  <si>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</si>
  <si>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</si>
  <si>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</si>
  <si>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</si>
  <si>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</si>
  <si>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</si>
  <si>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</si>
  <si>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</si>
  <si>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</si>
  <si>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</si>
  <si>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</si>
  <si>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</si>
  <si>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</si>
  <si>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</si>
  <si>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</si>
  <si>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</si>
  <si>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</si>
  <si>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</si>
  <si>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</si>
  <si>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</si>
  <si>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</si>
  <si>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</si>
  <si>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</si>
  <si>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</si>
  <si>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</si>
  <si>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</si>
  <si>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</si>
  <si>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</si>
  <si>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</si>
  <si>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</si>
  <si>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</si>
  <si>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</si>
  <si>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</si>
  <si>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</si>
  <si>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</si>
  <si>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</si>
  <si>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</si>
  <si>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</si>
  <si>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</si>
  <si>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</si>
  <si>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</si>
  <si>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</si>
  <si>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</si>
  <si>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</si>
  <si>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</si>
  <si>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</si>
  <si>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</si>
  <si>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</si>
  <si>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</si>
  <si>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</si>
  <si>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</si>
  <si>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</si>
  <si>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</si>
  <si>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</si>
  <si>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HK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</si>
  <si>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</si>
  <si>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</si>
  <si>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</si>
  <si>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</si>
  <si>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</si>
  <si>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</si>
  <si>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Asset heavy business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</si>
  <si>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</si>
  <si>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</si>
  <si>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</si>
  <si>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</si>
  <si>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</si>
  <si>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</si>
  <si>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</si>
  <si>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</si>
  <si>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</si>
  <si>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</si>
  <si>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</si>
  <si>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</si>
  <si>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</si>
  <si>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</si>
  <si>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</si>
  <si>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</si>
  <si>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</si>
  <si>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</si>
  <si>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</si>
  <si>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</si>
  <si>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</si>
  <si>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</si>
  <si>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</si>
  <si>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</si>
  <si>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</si>
  <si>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</si>
  <si>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</si>
  <si>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</si>
  <si>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</si>
  <si>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</si>
  <si>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</si>
  <si>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</si>
  <si>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</si>
  <si>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</si>
  <si>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</si>
  <si>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</si>
  <si>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</si>
  <si>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</si>
  <si>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</si>
  <si>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</si>
  <si>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</si>
  <si>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</si>
  <si>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</si>
  <si>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</si>
  <si>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</si>
  <si>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</si>
  <si>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</si>
  <si>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</si>
  <si>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</si>
  <si>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</si>
  <si>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</si>
  <si>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</si>
  <si>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</si>
  <si>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</si>
  <si>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The room for profitable reinvestment is small
2. Organic growth rate will be low</t>
  </si>
  <si>
    <t>1. 72%收入来自物业销售，22年楼市差，实质比例更高
2. 物业销售(特别内地)业绩波动较大，难以预测</t>
  </si>
  <si>
    <t>物業銷售</t>
  </si>
  <si>
    <t>物業管理及其他服務</t>
  </si>
  <si>
    <t>酒店經營</t>
  </si>
  <si>
    <t>經營租賃之租金收益</t>
  </si>
  <si>
    <t>current demand for export will likely not recover until the 2nd half of next year</t>
  </si>
  <si>
    <t>Expect the coming FY to be report terrible P&amp;L result</t>
  </si>
  <si>
    <t>Use the average of HK and mainland corporate tax rate</t>
  </si>
  <si>
    <t>PB 0.54 in the past 5 years, 0.6 in the past 10 years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</si>
  <si>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</si>
  <si>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</si>
  <si>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Consumer Staples, 15.1y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</si>
</sst>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38" fontId="2" fillId="8" borderId="16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13" zoomScaleNormal="100" workbookViewId="0">
      <selection activeCell="C25" sqref="C25:J2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31" t="s">
        <v>364</v>
      </c>
      <c r="D3" s="432"/>
      <c r="E3" s="15"/>
      <c r="G3" s="7" t="s">
        <v>2</v>
      </c>
      <c r="I3" s="441" t="s">
        <v>3</v>
      </c>
      <c r="J3" s="442"/>
    </row>
    <row r="4" spans="1:12" ht="15.75" customHeight="1">
      <c r="B4" s="5" t="s">
        <v>4</v>
      </c>
      <c r="C4" s="433" t="s">
        <v>365</v>
      </c>
      <c r="D4" s="434"/>
      <c r="E4" s="6"/>
      <c r="G4" s="5" t="s">
        <v>5</v>
      </c>
      <c r="I4" s="31">
        <v>9.18</v>
      </c>
      <c r="J4" s="32" t="s">
        <v>6</v>
      </c>
      <c r="K4" s="145"/>
    </row>
    <row r="5" spans="1:12" ht="15.75" customHeight="1">
      <c r="B5" s="5" t="s">
        <v>7</v>
      </c>
      <c r="C5" s="435">
        <v>44956</v>
      </c>
      <c r="D5" s="434"/>
      <c r="E5" s="118" t="str">
        <f ca="1">IF(C5+30&gt;=TODAY(),"Patience Premium","")</f>
        <v/>
      </c>
      <c r="G5" s="5" t="s">
        <v>8</v>
      </c>
      <c r="I5" s="406">
        <v>8171879936</v>
      </c>
      <c r="J5" s="407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44742</v>
      </c>
      <c r="G6" s="127" t="s">
        <v>9</v>
      </c>
      <c r="H6" s="126"/>
      <c r="I6" s="443">
        <f>I4*I5/1000000</f>
        <v>75017.857812479997</v>
      </c>
      <c r="J6" s="444"/>
      <c r="K6" s="144"/>
    </row>
    <row r="7" spans="1:12" ht="15.75" customHeight="1">
      <c r="B7" s="132" t="s">
        <v>10</v>
      </c>
      <c r="C7" s="138">
        <f>(Data!C39*Exchange_Rate)/I4</f>
        <v>4.0706134366475973E-2</v>
      </c>
      <c r="D7" s="138">
        <f>(Data!C40*Exchange_Rate)/I4</f>
        <v>0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13.079804395804578</v>
      </c>
      <c r="J9" s="47">
        <f>IF(I9="NNI","NNI",1/I9)</f>
        <v>7.6453742711990083E-2</v>
      </c>
    </row>
    <row r="10" spans="1:12" ht="15.75" customHeight="1">
      <c r="B10" s="3" t="s">
        <v>250</v>
      </c>
      <c r="C10" s="271" t="s">
        <v>308</v>
      </c>
      <c r="D10" s="271">
        <v>3.6810000000000002E-2</v>
      </c>
      <c r="E10" s="5"/>
      <c r="G10" s="5" t="s">
        <v>14</v>
      </c>
      <c r="I10" s="131">
        <f>I4/(Data!C28*I12*Data!C4/Common_Shares)</f>
        <v>0.4741108630924078</v>
      </c>
      <c r="J10" s="123">
        <f>IF(Asset_Model!D60/'Val Models'!C4&lt;0,"Negative EV",Asset_Model!D60/'Val Models'!C4)</f>
        <v>2.4887428563974439</v>
      </c>
    </row>
    <row r="11" spans="1:12" ht="15.75" customHeight="1" thickBot="1">
      <c r="B11" s="280" t="s">
        <v>251</v>
      </c>
      <c r="C11" s="404">
        <f ca="1">C12-D10</f>
        <v>2.3189999999999995E-2</v>
      </c>
      <c r="D11" s="405"/>
      <c r="E11" s="13"/>
      <c r="G11" s="5" t="s">
        <v>15</v>
      </c>
      <c r="H11" s="6"/>
      <c r="I11" s="453" t="s">
        <v>6</v>
      </c>
      <c r="J11" s="454"/>
    </row>
    <row r="12" spans="1:12" ht="15.75" customHeight="1" thickTop="1">
      <c r="B12" s="281" t="s">
        <v>141</v>
      </c>
      <c r="C12" s="451">
        <f ca="1">IF(C10="CN",8%,6%)*IF($C$5+30&gt;=TODAY(),1.2,1)</f>
        <v>0.06</v>
      </c>
      <c r="D12" s="452"/>
      <c r="G12" s="127" t="s">
        <v>16</v>
      </c>
      <c r="H12" s="126"/>
      <c r="I12" s="128">
        <v>1</v>
      </c>
      <c r="J12" s="129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37" t="s">
        <v>309</v>
      </c>
      <c r="D14" s="231"/>
      <c r="E14" s="184">
        <f ca="1">'Val Models'!C44</f>
        <v>10.006170793198937</v>
      </c>
      <c r="F14" s="177"/>
      <c r="G14" s="178"/>
      <c r="H14" s="337" t="s">
        <v>363</v>
      </c>
      <c r="I14" s="390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362</v>
      </c>
      <c r="D15" s="86" t="s">
        <v>19</v>
      </c>
      <c r="E15" s="132"/>
      <c r="F15" s="59" t="s">
        <v>22</v>
      </c>
      <c r="H15" s="342" t="s">
        <v>21</v>
      </c>
      <c r="I15" s="86" t="s">
        <v>350</v>
      </c>
      <c r="J15" s="86" t="s">
        <v>20</v>
      </c>
    </row>
    <row r="16" spans="1:12" ht="15.75" customHeight="1">
      <c r="B16" s="124">
        <f>I4</f>
        <v>9.18</v>
      </c>
      <c r="C16" s="427">
        <v>0.2</v>
      </c>
      <c r="D16" s="152">
        <f ca="1">I37/B16-(1+C16)</f>
        <v>-2.0292055554248956E-2</v>
      </c>
      <c r="E16" s="418" t="s">
        <v>23</v>
      </c>
      <c r="F16" s="445">
        <f>('Val Models'!G16)*Exchange_Rate</f>
        <v>5.6202611458020337</v>
      </c>
      <c r="G16" s="418" t="s">
        <v>24</v>
      </c>
      <c r="H16" s="343">
        <f>B16-$F$16</f>
        <v>3.559738854197966</v>
      </c>
      <c r="I16" s="413">
        <v>0.42</v>
      </c>
      <c r="J16" s="154">
        <f>I16/B16</f>
        <v>4.5751633986928102E-2</v>
      </c>
    </row>
    <row r="17" spans="1:10" ht="15.75" customHeight="1">
      <c r="B17" s="261">
        <f ca="1">MIN((I37+I38)/2,E14,I37/(1+C16))</f>
        <v>9.0247657750099961</v>
      </c>
      <c r="C17" s="428"/>
      <c r="D17" s="260">
        <f ca="1">I37/B17-(1+C16)</f>
        <v>0</v>
      </c>
      <c r="E17" s="419"/>
      <c r="F17" s="446"/>
      <c r="G17" s="419"/>
      <c r="H17" s="344">
        <f ca="1">B17-$F$16</f>
        <v>3.4045046292079624</v>
      </c>
      <c r="I17" s="414"/>
      <c r="J17" s="155">
        <f ca="1">I16/B17</f>
        <v>4.6538603933965784E-2</v>
      </c>
    </row>
    <row r="18" spans="1:10" ht="15.75" customHeight="1">
      <c r="B18" s="315">
        <f>C37</f>
        <v>8.25</v>
      </c>
      <c r="C18" s="429"/>
      <c r="D18" s="153">
        <f ca="1">I37/B18-(1+C16)</f>
        <v>0.11269320363781743</v>
      </c>
      <c r="E18" s="420"/>
      <c r="F18" s="447"/>
      <c r="G18" s="420"/>
      <c r="H18" s="345">
        <f>B18-$F$16</f>
        <v>2.6297388541979663</v>
      </c>
      <c r="I18" s="415"/>
      <c r="J18" s="156">
        <f>I16/B18</f>
        <v>5.0909090909090904E-2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302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38" t="s">
        <v>367</v>
      </c>
      <c r="D21" s="439"/>
      <c r="E21" s="439"/>
      <c r="F21" s="439"/>
      <c r="G21" s="439"/>
      <c r="H21" s="439"/>
      <c r="I21" s="439"/>
      <c r="J21" s="440"/>
    </row>
    <row r="22" spans="1:10" ht="52.5" customHeight="1">
      <c r="A22" s="6"/>
      <c r="B22" s="24" t="s">
        <v>27</v>
      </c>
      <c r="C22" s="449" t="s">
        <v>368</v>
      </c>
      <c r="D22" s="450"/>
      <c r="E22" s="450"/>
      <c r="F22" s="450"/>
      <c r="G22" s="449" t="s">
        <v>371</v>
      </c>
      <c r="H22" s="449"/>
      <c r="I22" s="450"/>
      <c r="J22" s="450"/>
    </row>
    <row r="23" spans="1:10" ht="52.5" customHeight="1">
      <c r="A23" s="6"/>
      <c r="B23" s="24" t="s">
        <v>28</v>
      </c>
      <c r="C23" s="416" t="s">
        <v>369</v>
      </c>
      <c r="D23" s="417"/>
      <c r="E23" s="417"/>
      <c r="F23" s="417"/>
      <c r="G23" s="416" t="s">
        <v>370</v>
      </c>
      <c r="H23" s="416"/>
      <c r="I23" s="417"/>
      <c r="J23" s="417"/>
    </row>
    <row r="24" spans="1:10" ht="52.5" customHeight="1">
      <c r="A24" s="6"/>
      <c r="B24" s="24" t="s">
        <v>325</v>
      </c>
      <c r="C24" s="455" t="s">
        <v>380</v>
      </c>
      <c r="D24" s="456"/>
      <c r="E24" s="456"/>
      <c r="F24" s="456"/>
      <c r="G24" s="456"/>
      <c r="H24" s="456"/>
      <c r="I24" s="456"/>
      <c r="J24" s="457"/>
    </row>
    <row r="25" spans="1:10" ht="52.5" customHeight="1">
      <c r="A25" s="6"/>
      <c r="B25" s="350" t="s">
        <v>324</v>
      </c>
      <c r="C25" s="458" t="s">
        <v>381</v>
      </c>
      <c r="D25" s="459"/>
      <c r="E25" s="459"/>
      <c r="F25" s="459"/>
      <c r="G25" s="459"/>
      <c r="H25" s="459"/>
      <c r="I25" s="459"/>
      <c r="J25" s="46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319</v>
      </c>
      <c r="I27" s="29"/>
      <c r="J27" s="391">
        <f>C16</f>
        <v>0.2</v>
      </c>
    </row>
    <row r="28" spans="1:10" ht="15.75" customHeight="1">
      <c r="B28" s="23" t="s">
        <v>31</v>
      </c>
      <c r="C28" s="436">
        <v>44988</v>
      </c>
      <c r="D28" s="437"/>
      <c r="E28" s="424" t="str">
        <f>IF(C28="","","Action_Planning")</f>
        <v>Action_Planning</v>
      </c>
      <c r="F28" s="425"/>
      <c r="G28" s="425"/>
      <c r="H28" s="426"/>
      <c r="I28" s="448" t="s">
        <v>32</v>
      </c>
      <c r="J28" s="448"/>
    </row>
    <row r="29" spans="1:10" ht="15.75" customHeight="1">
      <c r="B29" s="23" t="s">
        <v>33</v>
      </c>
      <c r="C29" s="412">
        <f>C33/D27</f>
        <v>0.28915151515151516</v>
      </c>
      <c r="D29" s="403"/>
      <c r="E29" s="411">
        <f>E33/D27</f>
        <v>0.25</v>
      </c>
      <c r="F29" s="403"/>
      <c r="G29" s="422">
        <f>G33/D27</f>
        <v>0</v>
      </c>
      <c r="H29" s="423"/>
      <c r="I29" s="421">
        <f>C29+E29+G29</f>
        <v>0.53915151515151516</v>
      </c>
      <c r="J29" s="421"/>
    </row>
    <row r="30" spans="1:10" ht="15.75" customHeight="1">
      <c r="B30" s="23" t="s">
        <v>34</v>
      </c>
      <c r="C30" s="393">
        <v>20000</v>
      </c>
      <c r="D30" s="394"/>
      <c r="E30" s="393">
        <v>20000</v>
      </c>
      <c r="F30" s="394"/>
      <c r="G30" s="406"/>
      <c r="H30" s="407"/>
      <c r="I30" s="430">
        <f>C30+E30+G30</f>
        <v>40000</v>
      </c>
      <c r="J30" s="430"/>
    </row>
    <row r="31" spans="1:10" ht="15.75" customHeight="1">
      <c r="B31" s="23" t="s">
        <v>35</v>
      </c>
      <c r="C31" s="395">
        <v>9.5419999999999998</v>
      </c>
      <c r="D31" s="394"/>
      <c r="E31" s="395">
        <v>8.25</v>
      </c>
      <c r="F31" s="394"/>
      <c r="G31" s="409"/>
      <c r="H31" s="410"/>
      <c r="I31" s="408"/>
      <c r="J31" s="408"/>
    </row>
    <row r="32" spans="1:10" ht="15.75" customHeight="1">
      <c r="B32" s="23" t="s">
        <v>36</v>
      </c>
      <c r="C32" s="396">
        <f>C31*$I$5/1000000</f>
        <v>77976.078349311996</v>
      </c>
      <c r="D32" s="397"/>
      <c r="E32" s="396">
        <f>E31*$I$5/1000000</f>
        <v>67418.009472000005</v>
      </c>
      <c r="F32" s="397"/>
      <c r="G32" s="468">
        <f>G31*$I$5/1000000</f>
        <v>0</v>
      </c>
      <c r="H32" s="469"/>
      <c r="I32" s="472"/>
      <c r="J32" s="472"/>
    </row>
    <row r="33" spans="2:11" ht="15.75" customHeight="1">
      <c r="B33" s="2" t="s">
        <v>37</v>
      </c>
      <c r="C33" s="398">
        <f>C30*C31</f>
        <v>190840</v>
      </c>
      <c r="D33" s="399"/>
      <c r="E33" s="400">
        <f>E30*E31</f>
        <v>165000</v>
      </c>
      <c r="F33" s="401"/>
      <c r="G33" s="470">
        <f>G30*G31</f>
        <v>0</v>
      </c>
      <c r="H33" s="471"/>
      <c r="I33" s="400">
        <f>C33+E33+G33</f>
        <v>355840</v>
      </c>
      <c r="J33" s="400"/>
    </row>
    <row r="34" spans="2:11" ht="15.75" customHeight="1">
      <c r="B34" s="1" t="s">
        <v>38</v>
      </c>
      <c r="C34" s="473"/>
      <c r="D34" s="474"/>
      <c r="E34" s="402">
        <f>IF(C33=0,"-",(C33+E33)/(C30+E30))</f>
        <v>8.8960000000000008</v>
      </c>
      <c r="F34" s="403"/>
      <c r="G34" s="113"/>
      <c r="H34" s="113"/>
      <c r="I34" s="402">
        <f>IF(I33=0,"",I33/I30)</f>
        <v>8.8960000000000008</v>
      </c>
      <c r="J34" s="402"/>
    </row>
    <row r="35" spans="2:11" ht="15.75" customHeight="1">
      <c r="B35" s="1" t="s">
        <v>39</v>
      </c>
      <c r="C35" s="475"/>
      <c r="D35" s="476"/>
      <c r="E35" s="396">
        <f>IF(E34="-","-",E34*$I$5/1000000)</f>
        <v>72697.043910656008</v>
      </c>
      <c r="F35" s="397"/>
      <c r="G35" s="114"/>
      <c r="H35" s="114"/>
      <c r="I35" s="396">
        <f>IF(I34="","",I34*$I$5/1000000)</f>
        <v>72697.043910656008</v>
      </c>
      <c r="J35" s="396"/>
    </row>
    <row r="36" spans="2:11" ht="15.75" customHeight="1"/>
    <row r="37" spans="2:11" ht="15.75" customHeight="1">
      <c r="B37" s="139" t="s">
        <v>281</v>
      </c>
      <c r="C37" s="464">
        <f>E31</f>
        <v>8.25</v>
      </c>
      <c r="D37" s="465"/>
      <c r="E37" s="149" t="str">
        <f ca="1">IF(C37&gt;B17,"Caution! &gt; Breakeven price!","")</f>
        <v/>
      </c>
      <c r="G37" s="461" t="s">
        <v>356</v>
      </c>
      <c r="H37" s="461"/>
      <c r="I37" s="462">
        <f ca="1">'Val Models'!C48</f>
        <v>10.829718930011994</v>
      </c>
      <c r="J37" s="463"/>
    </row>
    <row r="38" spans="2:11" ht="15.75" customHeight="1">
      <c r="B38" s="139" t="s">
        <v>312</v>
      </c>
      <c r="C38" s="464">
        <f>E34</f>
        <v>8.8960000000000008</v>
      </c>
      <c r="D38" s="465"/>
      <c r="G38" s="466" t="s">
        <v>310</v>
      </c>
      <c r="H38" s="467"/>
      <c r="I38" s="462">
        <f ca="1">'Val Models'!C49</f>
        <v>9.020810158106908</v>
      </c>
      <c r="J38" s="463"/>
    </row>
    <row r="39" spans="2:11" ht="15.75" customHeight="1"/>
    <row r="40" spans="2:11" ht="15.75" customHeight="1">
      <c r="B40" s="21" t="s">
        <v>291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294</v>
      </c>
      <c r="F41" s="202">
        <f>'Qualitative Analysis'!E8</f>
        <v>0.58000000000000007</v>
      </c>
      <c r="G41" s="323"/>
      <c r="H41" s="112"/>
      <c r="I41" s="112"/>
      <c r="J41" s="112"/>
    </row>
    <row r="42" spans="2:11" ht="15.75" customHeight="1">
      <c r="B42" s="3" t="s">
        <v>293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300</v>
      </c>
      <c r="F43" s="321">
        <f>'Qualitative Analysis'!E64</f>
        <v>0.48680272108843536</v>
      </c>
      <c r="G43" s="323" t="s">
        <v>292</v>
      </c>
      <c r="H43" s="112"/>
      <c r="I43" s="112"/>
      <c r="J43" s="112"/>
    </row>
    <row r="44" spans="2:11" ht="15.75" customHeight="1">
      <c r="B44" s="3" t="s">
        <v>316</v>
      </c>
      <c r="F44" s="324">
        <f>AVERAGE(80%*0.5,0.6)</f>
        <v>0.5</v>
      </c>
      <c r="G44" s="72" t="s">
        <v>295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313</v>
      </c>
      <c r="F46" s="250" t="s">
        <v>314</v>
      </c>
    </row>
    <row r="47" spans="2:11" ht="15.75" customHeight="1">
      <c r="B47" s="3" t="s">
        <v>296</v>
      </c>
      <c r="E47" s="321">
        <f ca="1">I37/C31-1</f>
        <v>0.13495272794089241</v>
      </c>
      <c r="F47" s="321">
        <f ca="1">I37/C38-1</f>
        <v>0.21736948403911804</v>
      </c>
      <c r="J47" s="348"/>
    </row>
    <row r="48" spans="2:11" ht="15.75" customHeight="1">
      <c r="B48" s="3" t="s">
        <v>297</v>
      </c>
      <c r="E48" s="321">
        <f ca="1">'Val Models'!C49/C31-1</f>
        <v>-5.4620608037423191E-2</v>
      </c>
      <c r="F48" s="321">
        <f ca="1">'Val Models'!C49/C38-1</f>
        <v>1.4029918851945489E-2</v>
      </c>
    </row>
    <row r="49" spans="2:9" ht="15.75" customHeight="1"/>
    <row r="50" spans="2:9" ht="15.75" customHeight="1">
      <c r="B50" s="3" t="s">
        <v>299</v>
      </c>
      <c r="E50" s="341">
        <f ca="1">IF(E47&lt;=0,0,AVERAGE(F41:F43,1-F44,E47/C16))</f>
        <v>0.60831327215857944</v>
      </c>
      <c r="F50" s="321">
        <f ca="1">IF(F47&lt;=0,0,AVERAGE(F41:F43,1-F44,F47/C16))</f>
        <v>0.69073002825680518</v>
      </c>
      <c r="G50" s="72"/>
    </row>
    <row r="51" spans="2:9" ht="15.75" customHeight="1">
      <c r="B51" s="3" t="s">
        <v>298</v>
      </c>
      <c r="D51" s="318"/>
      <c r="E51" s="320">
        <f ca="1">IF(E48&gt;=0,100,E47/ABS(E48))</f>
        <v>2.4707291403352714</v>
      </c>
      <c r="F51" s="320">
        <f ca="1">IF(F48&gt;=0,100,F47/ABS(F48))</f>
        <v>100</v>
      </c>
      <c r="G51" s="72"/>
    </row>
    <row r="52" spans="2:9" ht="15.75" customHeight="1">
      <c r="B52" s="3" t="s">
        <v>317</v>
      </c>
      <c r="E52" s="346">
        <f ca="1">MAX(C16*2/E47,1)</f>
        <v>2.9640008475797166</v>
      </c>
      <c r="F52" s="346">
        <f ca="1">MAX(C16*2/F47,1)</f>
        <v>1.840184705632441</v>
      </c>
      <c r="G52" s="322"/>
      <c r="H52" s="83"/>
      <c r="I52" s="83"/>
    </row>
    <row r="53" spans="2:9" ht="15.75" customHeight="1">
      <c r="B53" s="3" t="s">
        <v>318</v>
      </c>
      <c r="E53" s="319">
        <f ca="1">IF(E47&lt;C16,0,MIN(MAX(E50-ABS((1-E50)/E51),0)/E52,H53))</f>
        <v>0</v>
      </c>
      <c r="F53" s="319">
        <f ca="1">IF(D18&lt;0,0,MIN(MAX(F50-ABS((1-F50)/F51),0)/F52,H53))</f>
        <v>0.37367842827660264</v>
      </c>
      <c r="G53" s="322" t="s">
        <v>301</v>
      </c>
      <c r="H53" s="76">
        <v>0.4</v>
      </c>
    </row>
    <row r="54" spans="2:9" ht="15.75" customHeight="1"/>
    <row r="55" spans="2:9" ht="15.75" customHeight="1">
      <c r="B55" s="21" t="s">
        <v>305</v>
      </c>
    </row>
    <row r="56" spans="2:9" ht="15.75" customHeight="1">
      <c r="B56" s="349" t="s">
        <v>306</v>
      </c>
    </row>
    <row r="57" spans="2:9" ht="15.75" customHeight="1">
      <c r="B57" s="3" t="s">
        <v>321</v>
      </c>
    </row>
    <row r="58" spans="2:9" ht="15.75" customHeight="1">
      <c r="B58" s="3" t="s">
        <v>320</v>
      </c>
    </row>
    <row r="59" spans="2:9" ht="15.75" customHeight="1"/>
    <row r="60" spans="2:9" ht="15.75" customHeight="1">
      <c r="B60" s="349" t="s">
        <v>307</v>
      </c>
    </row>
    <row r="61" spans="2:9" ht="15.75" customHeight="1">
      <c r="B61" s="3" t="s">
        <v>322</v>
      </c>
    </row>
    <row r="62" spans="2:9" ht="15.75" customHeight="1">
      <c r="B62" s="3" t="s">
        <v>323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1" priority="12" operator="lessThan">
      <formula>$B$18</formula>
    </cfRule>
  </conditionalFormatting>
  <conditionalFormatting sqref="B18">
    <cfRule type="cellIs" dxfId="20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9" priority="25" operator="lessThan">
      <formula>0</formula>
    </cfRule>
  </conditionalFormatting>
  <conditionalFormatting sqref="E14">
    <cfRule type="cellIs" dxfId="18" priority="17" operator="greaterThan">
      <formula>$B$16</formula>
    </cfRule>
  </conditionalFormatting>
  <conditionalFormatting sqref="E51:F51">
    <cfRule type="cellIs" dxfId="17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6" priority="13">
      <formula>LEN(TRIM(E28))=0</formula>
    </cfRule>
  </conditionalFormatting>
  <conditionalFormatting sqref="F16">
    <cfRule type="cellIs" dxfId="15" priority="20" operator="greaterThan">
      <formula>$B$16</formula>
    </cfRule>
  </conditionalFormatting>
  <conditionalFormatting sqref="G16">
    <cfRule type="cellIs" dxfId="14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44742</v>
      </c>
      <c r="D3" s="6"/>
      <c r="E3" s="172">
        <v>1</v>
      </c>
      <c r="F3" s="170">
        <f t="array" ref="F3">AVERAGE(C19:INDEX(C19:M19,1,E3))</f>
        <v>5735396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7384827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44742</v>
      </c>
      <c r="D6" s="255">
        <f>EOMONTH(EDATE(C6,-12),0)</f>
        <v>44377</v>
      </c>
      <c r="E6" s="255">
        <f t="shared" ref="E6:M6" si="0">EOMONTH(EDATE(D6,-12),0)</f>
        <v>44012</v>
      </c>
      <c r="F6" s="255">
        <f t="shared" si="0"/>
        <v>43646</v>
      </c>
      <c r="G6" s="255">
        <f t="shared" si="0"/>
        <v>43281</v>
      </c>
      <c r="H6" s="255">
        <f t="shared" si="0"/>
        <v>42916</v>
      </c>
      <c r="I6" s="255">
        <f t="shared" si="0"/>
        <v>42551</v>
      </c>
      <c r="J6" s="255">
        <f t="shared" si="0"/>
        <v>42185</v>
      </c>
      <c r="K6" s="255">
        <f t="shared" si="0"/>
        <v>41820</v>
      </c>
      <c r="L6" s="255">
        <f t="shared" si="0"/>
        <v>41455</v>
      </c>
      <c r="M6" s="255">
        <f t="shared" si="0"/>
        <v>41090</v>
      </c>
    </row>
    <row r="7" spans="1:14" ht="15.75" customHeight="1">
      <c r="A7" s="9"/>
      <c r="B7" s="42" t="s">
        <v>43</v>
      </c>
      <c r="C7" s="34">
        <v>15554174</v>
      </c>
      <c r="D7" s="34">
        <v>24545345</v>
      </c>
      <c r="E7" s="34">
        <v>5886888</v>
      </c>
      <c r="F7" s="34">
        <v>3061704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0.92274890061220805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7301864</v>
      </c>
      <c r="D9" s="34">
        <v>11010749</v>
      </c>
      <c r="E9" s="34">
        <v>2437232</v>
      </c>
      <c r="F9" s="34">
        <v>1897780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0.38015562575611489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867483</v>
      </c>
      <c r="D11" s="34">
        <v>823281</v>
      </c>
      <c r="E11" s="34">
        <v>843993</v>
      </c>
      <c r="F11" s="34">
        <v>0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0.38015562575611489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7384827</v>
      </c>
      <c r="D14" s="26">
        <f t="shared" si="5"/>
        <v>12711315</v>
      </c>
      <c r="E14" s="26">
        <f t="shared" si="5"/>
        <v>2605663</v>
      </c>
      <c r="F14" s="26">
        <f t="shared" si="5"/>
        <v>1163924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1.2386882648695277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IF(C14="","",C14*(1-Operation!$D$18))</f>
        <v>7384827</v>
      </c>
      <c r="D16" s="136">
        <f>IF(D14="","",D14*(1-Operation!$D$18))</f>
        <v>12711315</v>
      </c>
      <c r="E16" s="136">
        <f>IF(E14="","",E14*(1-Operation!$D$18))</f>
        <v>2605663</v>
      </c>
      <c r="F16" s="136">
        <f>IF(F14="","",F14*(1-Operation!$D$18))</f>
        <v>1163924</v>
      </c>
      <c r="G16" s="136" t="str">
        <f>IF(G14="","",G14*(1-Operation!$D$18))</f>
        <v/>
      </c>
      <c r="H16" s="136" t="str">
        <f>IF(H14="","",H14*(1-Operation!$D$18))</f>
        <v/>
      </c>
      <c r="I16" s="136" t="str">
        <f>IF(I14="","",I14*(1-Operation!$D$18))</f>
        <v/>
      </c>
      <c r="J16" s="136" t="str">
        <f>IF(J14="","",J14*(1-Operation!$D$18))</f>
        <v/>
      </c>
      <c r="K16" s="136" t="str">
        <f>IF(K14="","",K14*(1-Operation!$D$18))</f>
        <v/>
      </c>
      <c r="L16" s="136" t="str">
        <f>IF(L14="","",L14*(1-Operation!$D$18))</f>
        <v/>
      </c>
      <c r="M16" s="223" t="str">
        <f>IF(M14="","",M14*(1-Operation!$D$18))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0.47478104591089182</v>
      </c>
      <c r="D17" s="122">
        <f t="shared" si="7"/>
        <v>0.51787070012664316</v>
      </c>
      <c r="E17" s="122">
        <f t="shared" si="7"/>
        <v>0.44262146655414542</v>
      </c>
      <c r="F17" s="122">
        <f t="shared" si="7"/>
        <v>0.38015562575611489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27282</v>
      </c>
      <c r="D18" s="137">
        <v>39885</v>
      </c>
      <c r="E18" s="137">
        <v>31747</v>
      </c>
      <c r="F18" s="137">
        <v>3931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5735396</v>
      </c>
      <c r="D19" s="34">
        <v>9646036</v>
      </c>
      <c r="E19" s="34">
        <v>1688050</v>
      </c>
      <c r="F19" s="34">
        <v>1288227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0.3103668840972903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71424985</v>
      </c>
      <c r="D21" s="34">
        <v>74808371</v>
      </c>
      <c r="E21" s="34">
        <v>80391448</v>
      </c>
      <c r="F21" s="34">
        <v>5654990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15104618</v>
      </c>
      <c r="D22" s="34">
        <v>17965728</v>
      </c>
      <c r="E22" s="34">
        <v>32319376</v>
      </c>
      <c r="F22" s="34">
        <v>892243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2284708</v>
      </c>
      <c r="D23" s="34">
        <v>2894189</v>
      </c>
      <c r="E23" s="34">
        <v>864027</v>
      </c>
      <c r="F23" s="34">
        <v>64264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31180</v>
      </c>
      <c r="D24" s="133">
        <v>49241</v>
      </c>
      <c r="E24" s="133">
        <v>32031</v>
      </c>
      <c r="F24" s="133">
        <v>61537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2814396</v>
      </c>
      <c r="D25" s="34">
        <v>4131550</v>
      </c>
      <c r="E25" s="34">
        <v>6139127</v>
      </c>
      <c r="F25" s="34">
        <v>88172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13550</v>
      </c>
      <c r="D26" s="133">
        <v>19736</v>
      </c>
      <c r="E26" s="133">
        <v>7537</v>
      </c>
      <c r="F26" s="133">
        <v>88172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5099104</v>
      </c>
      <c r="D27" s="26">
        <f t="shared" si="9"/>
        <v>7025739</v>
      </c>
      <c r="E27" s="26">
        <f t="shared" si="9"/>
        <v>7003154</v>
      </c>
      <c r="F27" s="26">
        <f t="shared" si="9"/>
        <v>152436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158228515</v>
      </c>
      <c r="D28" s="34">
        <v>156808599</v>
      </c>
      <c r="E28" s="34">
        <v>145759189</v>
      </c>
      <c r="F28" s="34">
        <v>20045506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157397300</v>
      </c>
      <c r="D29" s="133">
        <v>155159697</v>
      </c>
      <c r="E29" s="133">
        <v>144915881</v>
      </c>
      <c r="F29" s="133">
        <v>19881530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1285288</v>
      </c>
      <c r="D30" s="34">
        <v>1376283</v>
      </c>
      <c r="E30" s="34">
        <v>1367290</v>
      </c>
      <c r="F30" s="34">
        <v>359739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17617776</v>
      </c>
      <c r="D31" s="34">
        <v>28578786</v>
      </c>
      <c r="E31" s="34">
        <v>23080979</v>
      </c>
      <c r="F31" s="34">
        <v>4917465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0.73689634239992974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-1348675.65</v>
      </c>
      <c r="D33" s="228">
        <f>IF(E7="","",(D7-E7)*Asset_Model!$D$65)</f>
        <v>2798768.55</v>
      </c>
      <c r="E33" s="228">
        <f>IF(F7="","",(E7-F7)*Asset_Model!$D$65)</f>
        <v>423777.6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-1439670.65</v>
      </c>
      <c r="D34" s="136">
        <f t="shared" si="11"/>
        <v>2807761.55</v>
      </c>
      <c r="E34" s="136">
        <f t="shared" si="11"/>
        <v>1431328.6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332</v>
      </c>
      <c r="C35" s="219">
        <f t="shared" ref="C35:M35" si="12">IF(C34="","",C34/C16)</f>
        <v>-0.19494981399022615</v>
      </c>
      <c r="D35" s="219">
        <f t="shared" si="12"/>
        <v>0.22088678866033923</v>
      </c>
      <c r="E35" s="219">
        <f t="shared" si="12"/>
        <v>0.54931455065371082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3053687</v>
      </c>
      <c r="D37" s="158">
        <v>508443</v>
      </c>
      <c r="E37" s="158">
        <v>1287845</v>
      </c>
      <c r="F37" s="158">
        <v>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0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0.37368231348424941</v>
      </c>
      <c r="D39" s="163">
        <f t="shared" si="13"/>
        <v>6.2218608690043288E-2</v>
      </c>
      <c r="E39" s="163">
        <f t="shared" si="13"/>
        <v>0.15759470404436446</v>
      </c>
      <c r="F39" s="163">
        <f t="shared" si="13"/>
        <v>0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0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1.7786907751741209E-2</v>
      </c>
      <c r="D42" s="47">
        <f t="shared" ref="D42:M42" si="15">IF(D29="","",D25/D29)</f>
        <v>2.6627726657651309E-2</v>
      </c>
      <c r="E42" s="47">
        <f t="shared" si="15"/>
        <v>4.236338320987746E-2</v>
      </c>
      <c r="F42" s="47">
        <f t="shared" si="15"/>
        <v>4.4348699521616292E-3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7.6672167584687896E-3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1.4482597334747438</v>
      </c>
      <c r="D44" s="49">
        <f t="shared" si="17"/>
        <v>1.8092495323267772</v>
      </c>
      <c r="E44" s="49">
        <f t="shared" si="17"/>
        <v>0.37206992734987693</v>
      </c>
      <c r="F44" s="49">
        <f t="shared" si="17"/>
        <v>7.635492928179695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3.377368281777848E-3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4.7286852934645554</v>
      </c>
      <c r="D46" s="50">
        <f t="shared" si="19"/>
        <v>4.1639487695683695</v>
      </c>
      <c r="E46" s="50">
        <f t="shared" si="19"/>
        <v>2.4874071826139219</v>
      </c>
      <c r="F46" s="50">
        <f t="shared" si="19"/>
        <v>6.3379482943547893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326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327</v>
      </c>
      <c r="C48" s="354">
        <f>C13</f>
        <v>0.47478104591089182</v>
      </c>
      <c r="D48" s="354">
        <f>D13</f>
        <v>0.51787070012664316</v>
      </c>
      <c r="E48" s="354">
        <f t="shared" ref="E48:M48" si="20">E13</f>
        <v>0.44262146655414542</v>
      </c>
      <c r="F48" s="354">
        <f t="shared" si="20"/>
        <v>0.38015562575611489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328</v>
      </c>
      <c r="C49" s="352">
        <f>C7/(C29+C21+C22)</f>
        <v>6.3765717551868398E-2</v>
      </c>
      <c r="D49" s="352">
        <f>IF(D7="","",D7/(D29+D21+D22))</f>
        <v>9.8999593423721874E-2</v>
      </c>
      <c r="E49" s="352">
        <f t="shared" ref="E49:M49" si="21">IF(E7="","",E7/(E29+E21+E22))</f>
        <v>2.2850457214829496E-2</v>
      </c>
      <c r="F49" s="352">
        <f t="shared" si="21"/>
        <v>0.11584741972221704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329</v>
      </c>
      <c r="C50" s="353">
        <f>(C29+C21+C22)/C29</f>
        <v>1.5497527784784111</v>
      </c>
      <c r="D50" s="353">
        <f>IF(D29="","",(D29+D21+D22)/D29)</f>
        <v>1.5979265285623754</v>
      </c>
      <c r="E50" s="353">
        <f t="shared" ref="E50:M50" si="22">IF(E29="","",(E29+E21+E22)/E29)</f>
        <v>1.7777672344965421</v>
      </c>
      <c r="F50" s="353">
        <f t="shared" si="22"/>
        <v>1.3293123315962101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330</v>
      </c>
      <c r="C51" s="356">
        <f>C48*C49*C50</f>
        <v>4.6918384241661074E-2</v>
      </c>
      <c r="D51" s="356">
        <f>IF(D48="","",D48*D49*D50)</f>
        <v>8.1924077229926534E-2</v>
      </c>
      <c r="E51" s="356">
        <f t="shared" ref="E51:M51" si="23">IF(E48="","",E48*E49*E50)</f>
        <v>1.7980520713254334E-2</v>
      </c>
      <c r="F51" s="356">
        <f t="shared" si="23"/>
        <v>5.8542979338109286E-2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331</v>
      </c>
      <c r="C52" s="355">
        <f>C35*C51</f>
        <v>-9.1467302806337841E-3</v>
      </c>
      <c r="D52" s="355">
        <f>IF(D35="","",D35*D51)</f>
        <v>1.8095946333280093E-2</v>
      </c>
      <c r="E52" s="355">
        <f t="shared" ref="E52:M52" si="24">IF(E35="","",E35*E51)</f>
        <v>9.8769616561210447E-3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3" priority="1">
      <formula>$C$55="No"</formula>
    </cfRule>
  </conditionalFormatting>
  <conditionalFormatting sqref="C7:M35 D42:M46 D48:M52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4" zoomScaleNormal="100" workbookViewId="0">
      <selection activeCell="D34" sqref="D3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160090995.734</v>
      </c>
      <c r="E3" s="149" t="str">
        <f>IF((C46-I46)=D3,"", "Error!")</f>
        <v/>
      </c>
      <c r="F3" s="6"/>
      <c r="G3" s="6"/>
      <c r="H3" s="250" t="s">
        <v>239</v>
      </c>
      <c r="I3" s="251">
        <v>159323330.11500001</v>
      </c>
      <c r="K3" s="72"/>
    </row>
    <row r="4" spans="1:11" ht="15" customHeight="1">
      <c r="B4" s="5" t="s">
        <v>213</v>
      </c>
      <c r="C4" s="6"/>
      <c r="D4" s="252">
        <f>D3-I3</f>
        <v>767665.61899998784</v>
      </c>
      <c r="E4" s="143"/>
      <c r="F4" s="6"/>
      <c r="G4" s="6"/>
      <c r="H4" s="59" t="s">
        <v>80</v>
      </c>
      <c r="I4" s="87">
        <f>(I3*Dashboard!I12*Data!C4)/Dashboard!I5</f>
        <v>19.496533400243045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358</v>
      </c>
      <c r="C6" s="6"/>
      <c r="D6" s="58">
        <f>E46-I46-E50</f>
        <v>94693138.395559996</v>
      </c>
      <c r="E6" s="14">
        <f>1-D6/D3</f>
        <v>0.40850428244635406</v>
      </c>
      <c r="F6" s="6"/>
      <c r="G6" s="6"/>
      <c r="H6" s="3" t="s">
        <v>282</v>
      </c>
      <c r="I6" s="68">
        <f>C26/I26</f>
        <v>4.8817709652895234</v>
      </c>
      <c r="J6" s="6"/>
      <c r="K6" s="72"/>
    </row>
    <row r="7" spans="1:11" ht="15" customHeight="1" thickBot="1">
      <c r="B7" s="52" t="s">
        <v>359</v>
      </c>
      <c r="D7" s="60">
        <f>MAX((D6*Exchange_Rate*Data!C4)/Common_Shares, 0)</f>
        <v>11.587681064476177</v>
      </c>
      <c r="E7" s="48" t="str">
        <f>Dashboard!J4</f>
        <v>HKD</v>
      </c>
      <c r="H7" s="3" t="s">
        <v>283</v>
      </c>
      <c r="I7" s="68">
        <f>C25/I26</f>
        <v>3.7089690853896293</v>
      </c>
      <c r="J7" s="6"/>
      <c r="K7" s="112"/>
    </row>
    <row r="8" spans="1:11" ht="15" customHeight="1">
      <c r="D8" s="6"/>
      <c r="H8" s="3" t="s">
        <v>284</v>
      </c>
      <c r="I8" s="68">
        <f>C24/I26</f>
        <v>3.2145491810156961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366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3379024.0260000001</v>
      </c>
      <c r="D11" s="64">
        <v>1</v>
      </c>
      <c r="E11" s="26">
        <f t="shared" ref="E11:E21" si="0">C11*D11</f>
        <v>3379024.0260000001</v>
      </c>
      <c r="F11" s="6"/>
      <c r="G11" s="6"/>
      <c r="H11" s="5" t="s">
        <v>88</v>
      </c>
      <c r="I11" s="63">
        <v>2230528</v>
      </c>
      <c r="J11" s="6"/>
      <c r="K11" s="72"/>
    </row>
    <row r="12" spans="1:11" ht="14">
      <c r="B12" s="3" t="s">
        <v>89</v>
      </c>
      <c r="C12" s="63">
        <v>41083645.866999999</v>
      </c>
      <c r="D12" s="64">
        <v>0.98</v>
      </c>
      <c r="E12" s="26">
        <f t="shared" si="0"/>
        <v>40261972.949659996</v>
      </c>
      <c r="F12" s="6"/>
      <c r="G12" s="6"/>
      <c r="H12" s="5" t="s">
        <v>90</v>
      </c>
      <c r="I12" s="63">
        <v>40711.811999999998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1695386.811</v>
      </c>
      <c r="J13" s="6"/>
      <c r="K13" s="75"/>
    </row>
    <row r="14" spans="1:11" ht="14">
      <c r="B14" s="5" t="s">
        <v>93</v>
      </c>
      <c r="C14" s="63">
        <v>9150.4850000000006</v>
      </c>
      <c r="D14" s="64">
        <v>0.6</v>
      </c>
      <c r="E14" s="26">
        <f t="shared" si="0"/>
        <v>5490.2910000000002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0</v>
      </c>
      <c r="D15" s="64">
        <v>0.8</v>
      </c>
      <c r="E15" s="26">
        <f t="shared" si="0"/>
        <v>0</v>
      </c>
      <c r="G15" s="6"/>
      <c r="H15" s="5" t="s">
        <v>96</v>
      </c>
      <c r="I15" s="148">
        <f>I26-SUM(I11:I14)</f>
        <v>9867916.8460000008</v>
      </c>
      <c r="J15" s="6"/>
    </row>
    <row r="16" spans="1:11" ht="14">
      <c r="B16" s="3" t="s">
        <v>94</v>
      </c>
      <c r="C16" s="63">
        <v>0</v>
      </c>
      <c r="D16" s="64">
        <v>0.5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v>6840073.6589999991</v>
      </c>
      <c r="D17" s="64">
        <v>0.6</v>
      </c>
      <c r="E17" s="26">
        <f t="shared" si="0"/>
        <v>4104044.1953999992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13046.883</v>
      </c>
      <c r="D18" s="64">
        <v>0.6</v>
      </c>
      <c r="E18" s="26">
        <f t="shared" si="0"/>
        <v>7828.1297999999997</v>
      </c>
      <c r="G18" s="6"/>
    </row>
    <row r="19" spans="2:10" ht="14">
      <c r="B19" s="3" t="s">
        <v>99</v>
      </c>
      <c r="C19" s="63">
        <v>8609555.8550000004</v>
      </c>
      <c r="D19" s="64">
        <v>0.6</v>
      </c>
      <c r="E19" s="26">
        <f t="shared" si="0"/>
        <v>5165733.5130000003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7527029.5259999996</v>
      </c>
      <c r="D20" s="64">
        <v>0.45</v>
      </c>
      <c r="E20" s="26">
        <f t="shared" si="0"/>
        <v>3387163.2867000001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75546.323999999993</v>
      </c>
      <c r="D21" s="64">
        <v>0.95</v>
      </c>
      <c r="E21" s="26">
        <f t="shared" si="0"/>
        <v>71769.007799999992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44471820.377999999</v>
      </c>
      <c r="D24" s="67">
        <f>IF(E24=0,0,E24/C24)</f>
        <v>0.98144143630000158</v>
      </c>
      <c r="E24" s="26">
        <f>SUM(E11:E14)</f>
        <v>43646487.266659997</v>
      </c>
      <c r="F24" s="6"/>
      <c r="G24" s="6"/>
      <c r="H24" s="65" t="s">
        <v>285</v>
      </c>
      <c r="I24" s="68">
        <f>E24/($I$26-I15)</f>
        <v>11.003427197705268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51311894.037</v>
      </c>
      <c r="D25" s="67">
        <f>IF(E25=0,0,E25/C25)</f>
        <v>0.93059381958553367</v>
      </c>
      <c r="E25" s="26">
        <f>E24+SUM(E15:E17)</f>
        <v>47750531.462059997</v>
      </c>
      <c r="F25" s="6"/>
      <c r="G25" s="6"/>
      <c r="H25" s="65" t="s">
        <v>289</v>
      </c>
      <c r="I25" s="68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67537072.625</v>
      </c>
      <c r="D26" s="14">
        <f t="shared" ref="D26" si="2">E26/C26</f>
        <v>0.83484556270934451</v>
      </c>
      <c r="E26" s="26">
        <f>SUM(E11:E22)</f>
        <v>56383025.399359994</v>
      </c>
      <c r="H26" s="5" t="s">
        <v>56</v>
      </c>
      <c r="I26" s="63">
        <v>13834543.469000001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v>997248.75199999998</v>
      </c>
      <c r="J28" s="6"/>
    </row>
    <row r="29" spans="2:10" ht="15" customHeight="1">
      <c r="B29" s="5" t="s">
        <v>108</v>
      </c>
      <c r="C29" s="63">
        <v>941238.06900000002</v>
      </c>
      <c r="D29" s="64">
        <v>0.6</v>
      </c>
      <c r="E29" s="26">
        <f t="shared" ref="E29:E40" si="3">C29*D29</f>
        <v>564742.84140000003</v>
      </c>
      <c r="F29" s="6"/>
      <c r="G29" s="6"/>
      <c r="H29" s="5" t="s">
        <v>109</v>
      </c>
      <c r="I29" s="63">
        <v>35896.328000000001</v>
      </c>
      <c r="J29" s="6"/>
    </row>
    <row r="30" spans="2:10" ht="15" customHeight="1">
      <c r="B30" s="5" t="s">
        <v>110</v>
      </c>
      <c r="C30" s="63">
        <v>0</v>
      </c>
      <c r="D30" s="64">
        <v>0</v>
      </c>
      <c r="E30" s="26">
        <f t="shared" si="3"/>
        <v>0</v>
      </c>
      <c r="F30" s="6"/>
      <c r="G30" s="6"/>
      <c r="H30" s="5" t="s">
        <v>112</v>
      </c>
      <c r="I30" s="63">
        <v>1739746.648</v>
      </c>
      <c r="J30" s="6"/>
    </row>
    <row r="31" spans="2:10" ht="14">
      <c r="B31" s="3" t="s">
        <v>111</v>
      </c>
      <c r="C31" s="63">
        <v>0</v>
      </c>
      <c r="D31" s="64">
        <v>0.3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19909711.574000001</v>
      </c>
      <c r="D32" s="64">
        <v>0.4</v>
      </c>
      <c r="E32" s="26">
        <f t="shared" si="3"/>
        <v>7963884.6296000006</v>
      </c>
      <c r="G32" s="6"/>
      <c r="H32" s="5" t="s">
        <v>114</v>
      </c>
      <c r="I32" s="148">
        <f>I42-SUM(I28:I31)</f>
        <v>2692468.8590000002</v>
      </c>
      <c r="J32" s="6"/>
    </row>
    <row r="33" spans="2:10" ht="14">
      <c r="B33" s="5" t="s">
        <v>115</v>
      </c>
      <c r="C33" s="63">
        <v>23060132.886</v>
      </c>
      <c r="D33" s="64">
        <v>0.4</v>
      </c>
      <c r="E33" s="208">
        <f t="shared" si="3"/>
        <v>9224053.1544000003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66597606.537</v>
      </c>
      <c r="D34" s="64">
        <v>0.6</v>
      </c>
      <c r="E34" s="208">
        <f t="shared" si="3"/>
        <v>39958563.922200002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0.45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v>114740.003</v>
      </c>
      <c r="D36" s="64">
        <v>0.4</v>
      </c>
      <c r="E36" s="26">
        <f t="shared" si="3"/>
        <v>45896.001199999999</v>
      </c>
      <c r="F36" s="6"/>
      <c r="G36" s="6"/>
    </row>
    <row r="37" spans="2:10" ht="14">
      <c r="B37" s="5" t="s">
        <v>276</v>
      </c>
      <c r="C37" s="63">
        <v>1217891.264</v>
      </c>
      <c r="D37" s="64">
        <v>0.5</v>
      </c>
      <c r="E37" s="26">
        <f t="shared" si="3"/>
        <v>608945.63199999998</v>
      </c>
      <c r="F37" s="6"/>
      <c r="G37" s="6"/>
    </row>
    <row r="38" spans="2:10" ht="15" customHeight="1">
      <c r="B38" s="5" t="s">
        <v>117</v>
      </c>
      <c r="C38" s="63">
        <v>0</v>
      </c>
      <c r="D38" s="64">
        <v>0.1</v>
      </c>
      <c r="E38" s="26">
        <f t="shared" si="3"/>
        <v>0</v>
      </c>
      <c r="F38" s="6"/>
      <c r="G38" s="6"/>
    </row>
    <row r="39" spans="2:10" ht="15" customHeight="1">
      <c r="B39" s="5" t="s">
        <v>118</v>
      </c>
      <c r="C39" s="63">
        <v>12206.832</v>
      </c>
      <c r="D39" s="64">
        <v>0.95</v>
      </c>
      <c r="E39" s="26">
        <f t="shared" si="3"/>
        <v>11596.490400000001</v>
      </c>
      <c r="F39" s="6"/>
      <c r="G39" s="6"/>
    </row>
    <row r="40" spans="2:10" ht="15" customHeight="1">
      <c r="B40" s="5" t="s">
        <v>119</v>
      </c>
      <c r="C40" s="63">
        <v>300</v>
      </c>
      <c r="D40" s="64">
        <v>0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111853827.16500001</v>
      </c>
      <c r="D42" s="14">
        <f>E42/C42</f>
        <v>0.52191046252789164</v>
      </c>
      <c r="E42" s="26">
        <f>SUM(E28:E40)</f>
        <v>58377682.6712</v>
      </c>
      <c r="F42" s="6"/>
      <c r="G42" s="6"/>
      <c r="H42" s="5" t="s">
        <v>121</v>
      </c>
      <c r="I42" s="63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45413058.446999997</v>
      </c>
      <c r="D44" s="67">
        <f>IF(E44=0,0,E44/C44)</f>
        <v>0.97353562213074429</v>
      </c>
      <c r="E44" s="26">
        <f>E24+SUM(E28:E29)</f>
        <v>44211230.108059995</v>
      </c>
      <c r="F44" s="6"/>
      <c r="G44" s="6"/>
      <c r="H44" s="65" t="s">
        <v>286</v>
      </c>
      <c r="I44" s="68">
        <f>E44/(I46-I15-I32)</f>
        <v>6.5599984754845266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95222976.566</v>
      </c>
      <c r="D45" s="67">
        <f>IF(E45=0,0,E45/C45)</f>
        <v>0.68789292720816242</v>
      </c>
      <c r="E45" s="26">
        <f>E44+(E25-E24)+SUM(E30:E33)</f>
        <v>65503212.087459996</v>
      </c>
      <c r="F45" s="6"/>
      <c r="G45" s="6"/>
      <c r="H45" s="65" t="s">
        <v>290</v>
      </c>
      <c r="I45" s="68">
        <f>E45/$I$46</f>
        <v>3.3939656848758375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179390899.79000002</v>
      </c>
      <c r="D46" s="14">
        <f>E46/C46</f>
        <v>0.63972424579453069</v>
      </c>
      <c r="E46" s="26">
        <f>E26+E42</f>
        <v>114760708.07055999</v>
      </c>
      <c r="F46" s="6"/>
      <c r="G46" s="6"/>
      <c r="H46" s="5" t="s">
        <v>287</v>
      </c>
      <c r="I46" s="148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BV of the MI</v>
      </c>
      <c r="E49" s="6"/>
    </row>
    <row r="50" spans="2:9" ht="14">
      <c r="B50" s="5" t="s">
        <v>199</v>
      </c>
      <c r="C50" s="206">
        <f>D4</f>
        <v>767665.61899998784</v>
      </c>
      <c r="D50" s="202">
        <f>IF(E50=0, 0,E50/C50)</f>
        <v>1</v>
      </c>
      <c r="E50" s="206">
        <f>MAX(C50,C50*Dashboard!I10)</f>
        <v>767665.61899998784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7">
        <f>D53+D54+D55</f>
        <v>6739518.3509999998</v>
      </c>
      <c r="E52" s="478"/>
      <c r="F52" s="52"/>
      <c r="G52" s="52"/>
    </row>
    <row r="53" spans="2:9" ht="14.5" thickTop="1">
      <c r="B53" s="57" t="s">
        <v>218</v>
      </c>
      <c r="C53" s="6"/>
      <c r="D53" s="480">
        <f>SUM(I11:I13)+SUM(I28:I30)</f>
        <v>6739518.3509999998</v>
      </c>
      <c r="E53" s="399"/>
      <c r="F53" s="5"/>
      <c r="G53" s="5"/>
      <c r="H53" s="3" t="s">
        <v>288</v>
      </c>
      <c r="I53" s="14">
        <f>D53/I3</f>
        <v>4.2300888050327577E-2</v>
      </c>
    </row>
    <row r="54" spans="2:9" ht="14">
      <c r="B54" s="57" t="s">
        <v>127</v>
      </c>
      <c r="C54" s="6"/>
      <c r="D54" s="487">
        <v>0</v>
      </c>
      <c r="E54" s="394"/>
      <c r="F54" s="6" t="s">
        <v>128</v>
      </c>
      <c r="G54" s="6"/>
    </row>
    <row r="55" spans="2:9" ht="12.75" customHeight="1">
      <c r="B55" s="57" t="s">
        <v>126</v>
      </c>
      <c r="C55" s="6"/>
      <c r="D55" s="487">
        <v>0</v>
      </c>
      <c r="E55" s="394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79"/>
      <c r="E57" s="479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24010521.440000001</v>
      </c>
      <c r="D58" s="122">
        <f>IF(E58=0,0,E58/C58)</f>
        <v>0.40791643410473138</v>
      </c>
      <c r="E58" s="209">
        <f>E14+E15+(E19*G19)+(E20*G20)+E29+E30+(E31*G31)+(E33*G33)+(E34*G34)+(E35*G35)</f>
        <v>9794286.2868000008</v>
      </c>
      <c r="H58" s="6"/>
    </row>
    <row r="59" spans="2:9" ht="14">
      <c r="B59" s="52" t="s">
        <v>87</v>
      </c>
      <c r="C59" s="201">
        <f>C11+C12+C28</f>
        <v>44462669.892999999</v>
      </c>
      <c r="D59" s="202">
        <f>IF(E59=0,0,E59/C59)</f>
        <v>0.98151993752697786</v>
      </c>
      <c r="E59" s="203">
        <f>E11+E12+E28</f>
        <v>43640996.975659996</v>
      </c>
      <c r="F59" s="6"/>
      <c r="G59" s="6"/>
    </row>
    <row r="60" spans="2:9" ht="14">
      <c r="B60" s="52" t="s">
        <v>131</v>
      </c>
      <c r="C60" s="6"/>
      <c r="D60" s="485">
        <f>((Dashboard!I6*Data!C4)+D52+E50-C58-C59)</f>
        <v>14051850.44947999</v>
      </c>
      <c r="E60" s="486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3">
        <f>((C26-C11-C12-C14-C15-C16*G16-C19*G19-C20*G20)-I26)/Data!C7</f>
        <v>0.5934554144758829</v>
      </c>
      <c r="E63" s="484"/>
    </row>
    <row r="64" spans="2:9" ht="15" customHeight="1">
      <c r="B64" s="3" t="s">
        <v>245</v>
      </c>
      <c r="D64" s="481">
        <v>8.5599999999999996E-2</v>
      </c>
      <c r="E64" s="482"/>
      <c r="F64" s="242" t="s">
        <v>231</v>
      </c>
    </row>
    <row r="65" spans="2:5" ht="15" customHeight="1">
      <c r="B65" s="263" t="s">
        <v>247</v>
      </c>
      <c r="D65" s="481">
        <v>0.15</v>
      </c>
      <c r="E65" s="48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12" sqref="C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1000HKD)</v>
      </c>
      <c r="C3" s="253">
        <f>Dashboard!E6</f>
        <v>44742</v>
      </c>
      <c r="D3" s="27" t="s">
        <v>230</v>
      </c>
      <c r="E3" s="253">
        <f>EOMONTH(EDATE(C3,12),0)</f>
        <v>45107</v>
      </c>
      <c r="F3" s="27" t="s">
        <v>230</v>
      </c>
      <c r="G3" s="253">
        <f>IF(G9="","",EOMONTH(EDATE(E3,12),0))</f>
        <v>45473</v>
      </c>
      <c r="H3" s="27"/>
      <c r="I3" s="253" t="str">
        <f>IF(I16="","",EOMONTH(EDATE(G3,12),0))</f>
        <v/>
      </c>
      <c r="J3" s="268"/>
      <c r="L3" s="70" t="s">
        <v>132</v>
      </c>
    </row>
    <row r="4" spans="1:13" ht="15.75" customHeight="1">
      <c r="B4" s="264" t="s">
        <v>372</v>
      </c>
      <c r="C4" s="265">
        <v>11129690.461999999</v>
      </c>
      <c r="D4" s="236">
        <f>C4/C8</f>
        <v>0.71954007930541752</v>
      </c>
      <c r="E4" s="265">
        <f>3947351.849/0.7</f>
        <v>5639074.0700000003</v>
      </c>
      <c r="F4" s="236">
        <f>E4/E8</f>
        <v>0.53990943728418095</v>
      </c>
      <c r="G4" s="392">
        <f>E4*1.52</f>
        <v>8571392.5864000004</v>
      </c>
      <c r="H4" s="236">
        <f>G4/G8</f>
        <v>0.63096006033519247</v>
      </c>
      <c r="I4" s="388"/>
      <c r="J4" s="258"/>
      <c r="K4" s="6"/>
      <c r="L4" s="72"/>
      <c r="M4" s="56"/>
    </row>
    <row r="5" spans="1:13" ht="15.75" customHeight="1">
      <c r="B5" s="264" t="s">
        <v>373</v>
      </c>
      <c r="C5" s="265">
        <v>1147617.763</v>
      </c>
      <c r="D5" s="236">
        <f>C5/C8</f>
        <v>7.4194064877248861E-2</v>
      </c>
      <c r="E5" s="265">
        <f>591321.795*2</f>
        <v>1182643.5900000001</v>
      </c>
      <c r="F5" s="236">
        <f>E5/E8</f>
        <v>0.11323143254698259</v>
      </c>
      <c r="G5" s="392">
        <f>E5*1.03</f>
        <v>1218122.8977000001</v>
      </c>
      <c r="H5" s="236">
        <f>G5/G8</f>
        <v>8.9668847772527399E-2</v>
      </c>
      <c r="I5" s="388"/>
      <c r="J5" s="258"/>
      <c r="K5" s="6"/>
      <c r="L5" s="72"/>
      <c r="M5" s="56"/>
    </row>
    <row r="6" spans="1:13" ht="15.75" customHeight="1">
      <c r="B6" s="264" t="s">
        <v>374</v>
      </c>
      <c r="C6" s="265">
        <v>451993.272</v>
      </c>
      <c r="D6" s="236">
        <f>C6/C8</f>
        <v>2.9221592091066291E-2</v>
      </c>
      <c r="E6" s="265">
        <f>455151.15*2</f>
        <v>910302.3</v>
      </c>
      <c r="F6" s="236">
        <f>E6/E8</f>
        <v>8.7156294890004107E-2</v>
      </c>
      <c r="G6" s="392">
        <f>E6*1.1</f>
        <v>1001332.5300000001</v>
      </c>
      <c r="H6" s="236">
        <f>G6/G8</f>
        <v>7.3710406701806244E-2</v>
      </c>
      <c r="I6" s="388"/>
      <c r="J6" s="258"/>
      <c r="K6" s="6"/>
      <c r="L6" s="72"/>
      <c r="M6" s="56"/>
    </row>
    <row r="7" spans="1:13" ht="15.75" customHeight="1">
      <c r="B7" s="264" t="s">
        <v>375</v>
      </c>
      <c r="C7" s="265">
        <v>2738482.4139999999</v>
      </c>
      <c r="D7" s="236">
        <f>C7/C8</f>
        <v>0.17704426372626741</v>
      </c>
      <c r="E7" s="265">
        <f>1356230.715*2</f>
        <v>2712461.43</v>
      </c>
      <c r="F7" s="236">
        <f>E7/E8</f>
        <v>0.25970283527883237</v>
      </c>
      <c r="G7" s="392">
        <f>E7*1.03</f>
        <v>2793835.2729000002</v>
      </c>
      <c r="H7" s="236">
        <f>G7/G8</f>
        <v>0.20566068519047398</v>
      </c>
      <c r="I7" s="388"/>
      <c r="J7" s="258"/>
      <c r="K7" s="6"/>
      <c r="L7" s="72"/>
      <c r="M7" s="56"/>
    </row>
    <row r="8" spans="1:13" ht="15.75" customHeight="1">
      <c r="B8" s="5" t="s">
        <v>134</v>
      </c>
      <c r="C8" s="173">
        <f>SUM(C4:C7)</f>
        <v>15467783.910999998</v>
      </c>
      <c r="D8" s="235"/>
      <c r="E8" s="305">
        <f>SUM(E4:E7)</f>
        <v>10444481.390000001</v>
      </c>
      <c r="F8" s="235"/>
      <c r="G8" s="305">
        <f>SUM(G4:G7)</f>
        <v>13584683.287</v>
      </c>
      <c r="H8" s="235"/>
      <c r="I8" s="215"/>
      <c r="J8" s="259"/>
      <c r="K8" s="6"/>
      <c r="L8" s="72" t="s">
        <v>376</v>
      </c>
      <c r="M8" s="56"/>
    </row>
    <row r="9" spans="1:13" ht="15.75" customHeight="1">
      <c r="B9" s="17" t="s">
        <v>133</v>
      </c>
      <c r="C9" s="237">
        <f>Data!C8</f>
        <v>-0.36630860148838817</v>
      </c>
      <c r="D9" s="237"/>
      <c r="E9" s="18">
        <f>E8/C8-1</f>
        <v>-0.32475903141028817</v>
      </c>
      <c r="F9" s="237"/>
      <c r="G9" s="18">
        <f>G8/E8-1</f>
        <v>0.30065656491154891</v>
      </c>
      <c r="H9" s="237"/>
      <c r="I9" s="71"/>
      <c r="J9" s="295"/>
      <c r="K9" s="6"/>
      <c r="L9" s="72"/>
      <c r="M9" s="56"/>
    </row>
    <row r="10" spans="1:13" ht="15.75" customHeight="1">
      <c r="B10" s="8" t="s">
        <v>135</v>
      </c>
      <c r="C10" s="174">
        <f>Data!C9</f>
        <v>7301864</v>
      </c>
      <c r="D10" s="238"/>
      <c r="E10" s="214">
        <f>E8*(1-E11)</f>
        <v>6266688.8339999998</v>
      </c>
      <c r="F10" s="238"/>
      <c r="G10" s="256">
        <f>IF(G8="","",G8*(1-G11))</f>
        <v>6792341.6435000002</v>
      </c>
      <c r="H10" s="238"/>
      <c r="I10" s="256" t="str">
        <f>IF(I8="","",I8*(1-I11))</f>
        <v/>
      </c>
      <c r="J10" s="296"/>
      <c r="K10" s="6"/>
      <c r="L10" s="112"/>
      <c r="M10" s="1"/>
    </row>
    <row r="11" spans="1:13" ht="15.75" customHeight="1">
      <c r="B11" s="17" t="s">
        <v>46</v>
      </c>
      <c r="C11" s="179">
        <f>(C8-C10)/C8</f>
        <v>0.52793082434987726</v>
      </c>
      <c r="D11" s="179"/>
      <c r="E11" s="71">
        <v>0.4</v>
      </c>
      <c r="F11" s="179"/>
      <c r="G11" s="71">
        <v>0.5</v>
      </c>
      <c r="H11" s="179"/>
      <c r="I11" s="71"/>
      <c r="J11" s="297"/>
      <c r="K11" s="6"/>
      <c r="L11" s="72"/>
    </row>
    <row r="12" spans="1:13" ht="15.75" customHeight="1">
      <c r="B12" s="5" t="s">
        <v>136</v>
      </c>
      <c r="C12" s="26">
        <f>C8-C10</f>
        <v>8165919.9109999985</v>
      </c>
      <c r="D12" s="26"/>
      <c r="E12" s="26">
        <f>E8-E10</f>
        <v>4177792.5560000008</v>
      </c>
      <c r="F12" s="26"/>
      <c r="G12" s="26">
        <f>IF(G9="","",G8-G10)</f>
        <v>6792341.6435000002</v>
      </c>
      <c r="H12" s="26"/>
      <c r="I12" s="26" t="str">
        <f>IF(I9="","",I8-I10)</f>
        <v/>
      </c>
      <c r="J12" s="222"/>
      <c r="K12" s="6"/>
      <c r="L12" s="72"/>
    </row>
    <row r="13" spans="1:13" ht="15.75" customHeight="1">
      <c r="B13" s="17" t="s">
        <v>48</v>
      </c>
      <c r="C13" s="180">
        <f>C14/C8</f>
        <v>6.7328499738051453E-2</v>
      </c>
      <c r="D13" s="180"/>
      <c r="E13" s="213">
        <f>E14/E8</f>
        <v>0.10369874309288227</v>
      </c>
      <c r="F13" s="180"/>
      <c r="G13" s="64">
        <v>0.09</v>
      </c>
      <c r="H13" s="180"/>
      <c r="I13" s="64"/>
      <c r="J13" s="298"/>
      <c r="K13" s="6"/>
      <c r="L13" s="72"/>
    </row>
    <row r="14" spans="1:13" ht="15.75" customHeight="1">
      <c r="B14" s="8" t="s">
        <v>137</v>
      </c>
      <c r="C14" s="176">
        <f>867483.279+173939.406</f>
        <v>1041422.6849999999</v>
      </c>
      <c r="D14" s="239"/>
      <c r="E14" s="74">
        <f>C14*1.04</f>
        <v>1083079.5924</v>
      </c>
      <c r="F14" s="239"/>
      <c r="G14" s="74">
        <f>G8*G13</f>
        <v>1222621.4958299999</v>
      </c>
      <c r="H14" s="239"/>
      <c r="I14" s="74"/>
      <c r="J14" s="299"/>
      <c r="K14" s="6"/>
      <c r="L14" s="72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16"/>
      <c r="K15" s="6"/>
      <c r="L15" s="72"/>
      <c r="M15" s="56"/>
    </row>
    <row r="16" spans="1:13" ht="15.75" customHeight="1">
      <c r="B16" s="17" t="s">
        <v>138</v>
      </c>
      <c r="C16" s="240">
        <f>Data!C15</f>
        <v>-0.41903516669990476</v>
      </c>
      <c r="D16" s="240"/>
      <c r="E16" s="14">
        <f>IF(ABS(C17+E17)=ABS(C17)+ABS(E17),IF(E17&lt;0,-1,1)*(E17-C17)/C17,"Turn")</f>
        <v>-0.56562366923153307</v>
      </c>
      <c r="F16" s="240"/>
      <c r="G16" s="14">
        <f>IF(G9="","",IF(ABS(E17+G17)=ABS(E17)+ABS(G17),IF(G17&lt;0,-1,1)*(G17-E17)/E17,"Turn"))</f>
        <v>0.7997533901143733</v>
      </c>
      <c r="H16" s="240"/>
      <c r="I16" s="14" t="str">
        <f>IF(I9="","",IF(ABS(G17+I17)=ABS(G17)+ABS(I17),IF(I17&lt;0,-1,1)*(I17-G17)/G17,"Turn"))</f>
        <v/>
      </c>
      <c r="J16" s="300"/>
      <c r="K16" s="6"/>
      <c r="L16" s="75" t="s">
        <v>377</v>
      </c>
      <c r="M16" s="76"/>
    </row>
    <row r="17" spans="2:13" ht="15.75" customHeight="1">
      <c r="B17" s="127" t="s">
        <v>228</v>
      </c>
      <c r="C17" s="287">
        <f>C12-C14</f>
        <v>7124497.2259999989</v>
      </c>
      <c r="D17" s="288"/>
      <c r="E17" s="287">
        <f>E12-E14</f>
        <v>3094712.9636000008</v>
      </c>
      <c r="F17" s="288"/>
      <c r="G17" s="287">
        <f>IF(G9="","",G12-G14)</f>
        <v>5569720.1476700008</v>
      </c>
      <c r="H17" s="288"/>
      <c r="I17" s="287" t="str">
        <f>IF(I9="","",I12-I14)</f>
        <v/>
      </c>
      <c r="J17" s="301"/>
      <c r="K17" s="6"/>
      <c r="L17" s="77"/>
      <c r="M17" s="55"/>
    </row>
    <row r="18" spans="2:13" ht="15.75" customHeight="1">
      <c r="B18" s="283" t="s">
        <v>139</v>
      </c>
      <c r="C18" s="284">
        <f>(16.5%+25%)/2</f>
        <v>0.20750000000000002</v>
      </c>
      <c r="D18" s="285"/>
      <c r="E18" s="286">
        <f>IF(E17="","",C18)</f>
        <v>0.20750000000000002</v>
      </c>
      <c r="F18" s="286"/>
      <c r="G18" s="286">
        <f>IF(G17="","",E18)</f>
        <v>0.20750000000000002</v>
      </c>
      <c r="H18" s="286"/>
      <c r="I18" s="286" t="str">
        <f>IF(I17="","",G18)</f>
        <v/>
      </c>
      <c r="J18" s="302"/>
      <c r="L18" s="72" t="s">
        <v>378</v>
      </c>
    </row>
    <row r="19" spans="2:13" ht="15.75" customHeight="1">
      <c r="B19" s="292" t="s">
        <v>278</v>
      </c>
      <c r="C19" s="240">
        <f>C20/C10</f>
        <v>0.77324968687515949</v>
      </c>
      <c r="D19" s="294"/>
      <c r="E19" s="293">
        <f>E20/E10</f>
        <v>0.39136457683148479</v>
      </c>
      <c r="F19" s="293"/>
      <c r="G19" s="293">
        <f>IF(G10="","",G20/G10)</f>
        <v>0.64985000000000004</v>
      </c>
      <c r="H19" s="293"/>
      <c r="I19" s="293" t="str">
        <f>IF(I10="","",I20/I10)</f>
        <v/>
      </c>
      <c r="J19" s="303"/>
    </row>
    <row r="20" spans="2:13" ht="15.75" customHeight="1">
      <c r="B20" s="289" t="s">
        <v>78</v>
      </c>
      <c r="C20" s="290">
        <f>IF(C17&lt;=0,C17,C17*(1-C18))</f>
        <v>5646164.0516049992</v>
      </c>
      <c r="D20" s="290"/>
      <c r="E20" s="291">
        <f>IF(E17="","",IF(E17&lt;=0,E17,E17*(1-E18)))</f>
        <v>2452560.0236530006</v>
      </c>
      <c r="F20" s="290"/>
      <c r="G20" s="291">
        <f>IF(G17="","",IF(G17&lt;=0,G17,G17*(1-G18)))</f>
        <v>4414003.2170284754</v>
      </c>
      <c r="H20" s="290"/>
      <c r="I20" s="291" t="str">
        <f>IF(I17="","",IF(I17&lt;=0,I17,I17*(1-I18)))</f>
        <v/>
      </c>
      <c r="J20" s="304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9" priority="5">
      <formula>LEN(TRIM(E18))=0</formula>
    </cfRule>
  </conditionalFormatting>
  <conditionalFormatting sqref="G13">
    <cfRule type="containsBlanks" priority="3">
      <formula>LEN(TRIM(G13))=0</formula>
    </cfRule>
  </conditionalFormatting>
  <conditionalFormatting sqref="G20 I20">
    <cfRule type="containsBlanks" dxfId="8" priority="7">
      <formula>LEN(TRIM(G20))=0</formula>
    </cfRule>
  </conditionalFormatting>
  <conditionalFormatting sqref="G15:H17">
    <cfRule type="containsBlanks" dxfId="7" priority="13">
      <formula>LEN(TRIM(G15))=0</formula>
    </cfRule>
  </conditionalFormatting>
  <conditionalFormatting sqref="G10:J20">
    <cfRule type="containsBlanks" dxfId="6" priority="1">
      <formula>LEN(TRIM(G10))=0</formula>
    </cfRule>
  </conditionalFormatting>
  <conditionalFormatting sqref="H9 G10:H12 H13:H14 G15:H17">
    <cfRule type="containsBlanks" priority="14">
      <formula>LEN(TRIM(G9))=0</formula>
    </cfRule>
  </conditionalFormatting>
  <conditionalFormatting sqref="H9:J9">
    <cfRule type="containsBlanks" dxfId="5" priority="4">
      <formula>LEN(TRIM(H9))=0</formula>
    </cfRule>
  </conditionalFormatting>
  <conditionalFormatting sqref="I9:J17">
    <cfRule type="containsBlanks" dxfId="4" priority="9">
      <formula>LEN(TRIM(I9))=0</formula>
    </cfRule>
    <cfRule type="containsBlanks" priority="10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opLeftCell="A19" zoomScaleNormal="100" zoomScalePageLayoutView="80" workbookViewId="0">
      <selection activeCell="G38" sqref="G3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333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3">
        <f>Operation!C3</f>
        <v>44742</v>
      </c>
      <c r="D3" s="253">
        <f>Operation!E3</f>
        <v>45107</v>
      </c>
      <c r="E3" s="253">
        <f>Operation!G3</f>
        <v>45473</v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Operation!C20</f>
        <v>5646164.0516049992</v>
      </c>
      <c r="D4" s="44">
        <f>Operation!E20</f>
        <v>2452560.0236530006</v>
      </c>
      <c r="E4" s="44">
        <f>Operation!G20</f>
        <v>4414003.2170284754</v>
      </c>
      <c r="F4" s="192" t="str">
        <f>Operation!I20</f>
        <v/>
      </c>
      <c r="G4" s="273">
        <f>IF(F3="",IF(E3="",1,2),3)</f>
        <v>2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-0.56562366923153307</v>
      </c>
      <c r="E5" s="234">
        <f>IF(E4="","",E4/D4-1)</f>
        <v>0.79975339011437319</v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0.27</v>
      </c>
      <c r="D6" s="213">
        <v>0.27</v>
      </c>
      <c r="E6" s="64">
        <v>0.27</v>
      </c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1524464.2939333499</v>
      </c>
      <c r="D7" s="278">
        <f>D4*D6</f>
        <v>662191.20638631016</v>
      </c>
      <c r="E7" s="279">
        <f>E4*E6</f>
        <v>1191780.8685976884</v>
      </c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4121699.7576716496</v>
      </c>
      <c r="D8" s="182">
        <f>D4-D7</f>
        <v>1790368.8172666905</v>
      </c>
      <c r="E8" s="182">
        <f>IF(E4="","",E4-E7)</f>
        <v>3222222.3484307872</v>
      </c>
      <c r="F8" s="182" t="str">
        <f>IF(F4="","",F4-F7)</f>
        <v/>
      </c>
      <c r="G8" s="362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0.50437595632237753</v>
      </c>
      <c r="D9" s="275">
        <f>D8/(Common_Shares/Data!$C$4)</f>
        <v>0.21908897723515092</v>
      </c>
      <c r="E9" s="275">
        <f>IF(E8="","",E8/(Common_Shares/Data!$C$4))</f>
        <v>0.39430612951565364</v>
      </c>
      <c r="F9" s="275" t="str">
        <f>IF(F8="","",F8/(Common_Shares/Data!$C$4))</f>
        <v/>
      </c>
      <c r="G9" s="381">
        <f>IF(F4="",IF(E4="",D8,E8),F8)*Data!C$4/Dashboard!I5</f>
        <v>0.39430612951565358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0.06</v>
      </c>
      <c r="E10" s="18">
        <f ca="1">IF(E4="","",D10)</f>
        <v>0.06</v>
      </c>
      <c r="F10" s="18" t="str">
        <f>IF(F4="","",D10)</f>
        <v/>
      </c>
      <c r="G10" s="379">
        <f ca="1">Dashboard!C12</f>
        <v>0.06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1.06</v>
      </c>
      <c r="E11" s="212">
        <f ca="1">IF(E4="","",(1+D10)*(1+E10))</f>
        <v>1.1236000000000002</v>
      </c>
      <c r="F11" s="212" t="str">
        <f>IF(F4="","",(1+D10)*(1+E10)*(1+F10))</f>
        <v/>
      </c>
      <c r="G11" s="382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339</v>
      </c>
      <c r="C12" s="328"/>
      <c r="D12" s="186">
        <f ca="1">IF(D9="","",D9/D11)</f>
        <v>0.20668771437278388</v>
      </c>
      <c r="E12" s="187">
        <f ca="1">IF(E9="","",E9/E11)</f>
        <v>0.35093105154472554</v>
      </c>
      <c r="F12" s="187" t="str">
        <f>IF(F9="","",F9/F11)</f>
        <v/>
      </c>
      <c r="G12" s="383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1000HKD)</v>
      </c>
      <c r="E14" s="70" t="s">
        <v>211</v>
      </c>
    </row>
    <row r="15" spans="1:10" ht="15.75" customHeight="1">
      <c r="B15" s="57" t="s">
        <v>222</v>
      </c>
      <c r="C15" s="82">
        <f>Asset_Model!E59</f>
        <v>43640996.975659996</v>
      </c>
      <c r="D15" s="207">
        <f>C15/(Dashboard!I5/Data!C4)</f>
        <v>5.3403864615541012</v>
      </c>
      <c r="E15" s="83" t="s">
        <v>220</v>
      </c>
      <c r="G15" s="130">
        <f>C15+C16+C17+C18</f>
        <v>45928099.292460009</v>
      </c>
    </row>
    <row r="16" spans="1:10" ht="15.75" customHeight="1">
      <c r="B16" s="57" t="s">
        <v>226</v>
      </c>
      <c r="C16" s="82">
        <f>Asset_Model!E58</f>
        <v>9794286.2868000008</v>
      </c>
      <c r="D16" s="207">
        <f>C16/(Dashboard!I5/Data!C4)</f>
        <v>1.1985352652640835</v>
      </c>
      <c r="E16" s="83" t="s">
        <v>303</v>
      </c>
      <c r="G16" s="188">
        <f>(G15+MIN(D4,0))*Data!C$4/Dashboard!I5</f>
        <v>5.6202611458020337</v>
      </c>
    </row>
    <row r="17" spans="1:9" ht="15.75" customHeight="1">
      <c r="B17" s="57" t="s">
        <v>212</v>
      </c>
      <c r="C17" s="82">
        <f>-Asset_Model!D52</f>
        <v>-6739518.3509999998</v>
      </c>
      <c r="D17" s="207">
        <f>C17/(Dashboard!I5/Data!C4)</f>
        <v>-0.82472067673315363</v>
      </c>
      <c r="E17" s="490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-767665.61899998784</v>
      </c>
      <c r="D18" s="207">
        <f>C18/(Dashboard!I5/Data!C4)</f>
        <v>-9.3939904282997519E-2</v>
      </c>
      <c r="E18" s="490"/>
      <c r="F18" s="141">
        <f>D15+(MIN(D4,0)*Data!C$4/Dashboard!I5)</f>
        <v>5.3403864615541012</v>
      </c>
      <c r="G18" s="140">
        <f>SUM(D16:D18)</f>
        <v>0.27987468424793233</v>
      </c>
    </row>
    <row r="19" spans="1:9" ht="15.75" customHeight="1">
      <c r="F19" s="6"/>
      <c r="G19" s="6"/>
    </row>
    <row r="20" spans="1:9" ht="15.75" customHeight="1">
      <c r="B20" s="25" t="s">
        <v>345</v>
      </c>
      <c r="C20" s="185" t="str">
        <f>B3</f>
        <v>(Numbers in 1000HKD)</v>
      </c>
      <c r="E20" s="491" t="s">
        <v>216</v>
      </c>
      <c r="F20" s="491"/>
      <c r="G20" s="92"/>
    </row>
    <row r="21" spans="1:9" ht="15.75" customHeight="1">
      <c r="B21" s="121" t="str">
        <f>"TV after Year "&amp;G4</f>
        <v>TV after Year 2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(HKD)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0.16666666666666666</v>
      </c>
      <c r="D22" s="269">
        <v>6</v>
      </c>
      <c r="E22" s="196">
        <f ca="1">IF(G9&lt;0,G9,G9*D22/G11)</f>
        <v>1.9864021785550496</v>
      </c>
      <c r="F22" s="332">
        <f ca="1">E22+$G$16</f>
        <v>7.6066633243570836</v>
      </c>
      <c r="G22" s="335">
        <f ca="1">ROUND(F22*Exchange_Rate,2)</f>
        <v>7.61</v>
      </c>
      <c r="I22" s="72"/>
    </row>
    <row r="23" spans="1:9" ht="15.75" customHeight="1" thickBot="1">
      <c r="B23" s="329" t="s">
        <v>274</v>
      </c>
      <c r="C23" s="330">
        <f>1/D23</f>
        <v>0.1</v>
      </c>
      <c r="D23" s="282">
        <v>10</v>
      </c>
      <c r="E23" s="331">
        <f ca="1">IF(G9&lt;0,G9,G9*D23/G11)</f>
        <v>3.3106702975917495</v>
      </c>
      <c r="F23" s="333">
        <f ca="1">E23+$G$16</f>
        <v>8.9309314433937832</v>
      </c>
      <c r="G23" s="336">
        <f ca="1">ROUND(F23*Exchange_Rate,2)</f>
        <v>8.93</v>
      </c>
      <c r="I23" s="72"/>
    </row>
    <row r="24" spans="1:9" ht="15.5" customHeight="1" thickTop="1">
      <c r="C24" s="6"/>
      <c r="D24" s="6"/>
      <c r="E24" s="492" t="s">
        <v>344</v>
      </c>
      <c r="F24" s="493"/>
      <c r="G24" s="363">
        <f ca="1">MIN(G22,G23)+ABS(G22-G23)*'Qualitative Analysis'!$E$64</f>
        <v>8.2525795918367351</v>
      </c>
    </row>
    <row r="25" spans="1:9" ht="15.75" customHeight="1"/>
    <row r="26" spans="1:9" ht="15.75" customHeight="1">
      <c r="A26" s="4"/>
      <c r="B26" s="88" t="s">
        <v>334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2</v>
      </c>
      <c r="H26" s="12"/>
      <c r="I26" s="12"/>
    </row>
    <row r="27" spans="1:9" ht="15.75" customHeight="1">
      <c r="B27" s="28" t="str">
        <f>B3</f>
        <v>(Numbers in 1000HKD)</v>
      </c>
      <c r="C27" s="253">
        <f>C3</f>
        <v>44742</v>
      </c>
      <c r="D27" s="253">
        <f>D3</f>
        <v>45107</v>
      </c>
      <c r="E27" s="253">
        <f>E3</f>
        <v>45473</v>
      </c>
      <c r="F27" s="253" t="str">
        <f>F3</f>
        <v/>
      </c>
      <c r="G27" s="27" t="str">
        <f>G3</f>
        <v>Terminal Value</v>
      </c>
      <c r="I27" s="72" t="s">
        <v>360</v>
      </c>
    </row>
    <row r="28" spans="1:9" ht="15.75" customHeight="1">
      <c r="B28" s="5" t="s">
        <v>140</v>
      </c>
      <c r="C28" s="26">
        <f>C4</f>
        <v>5646164.0516049992</v>
      </c>
      <c r="D28" s="26">
        <f>D4</f>
        <v>2452560.0236530006</v>
      </c>
      <c r="E28" s="26">
        <f>E4</f>
        <v>4414003.2170284754</v>
      </c>
      <c r="F28" s="359" t="str">
        <f>F4</f>
        <v/>
      </c>
      <c r="G28" s="384">
        <f>E28*1.02</f>
        <v>4502283.2813690454</v>
      </c>
      <c r="I28" s="72" t="s">
        <v>357</v>
      </c>
    </row>
    <row r="29" spans="1:9" ht="15.75" customHeight="1">
      <c r="B29" s="360" t="s">
        <v>335</v>
      </c>
      <c r="C29" s="64">
        <f>5.31095%+1.8%</f>
        <v>7.1109500000000006E-2</v>
      </c>
      <c r="D29" s="213">
        <v>0.08</v>
      </c>
      <c r="E29" s="64">
        <v>0.08</v>
      </c>
      <c r="F29" s="277"/>
      <c r="G29" s="277">
        <v>0.06</v>
      </c>
      <c r="I29" s="72" t="s">
        <v>349</v>
      </c>
    </row>
    <row r="30" spans="1:9" ht="15.75" customHeight="1">
      <c r="B30" s="360" t="s">
        <v>347</v>
      </c>
      <c r="C30" s="385">
        <f>C17</f>
        <v>-6739518.3509999998</v>
      </c>
      <c r="D30" s="367">
        <v>107000</v>
      </c>
      <c r="E30" s="366">
        <f>D30*1.05</f>
        <v>112350</v>
      </c>
      <c r="F30" s="366"/>
      <c r="G30" s="366">
        <f>IF(F30&lt;&gt;"",F30,IF(E30&lt;&gt;"",E30,D30))*1.4</f>
        <v>157290</v>
      </c>
      <c r="I30" s="72" t="s">
        <v>348</v>
      </c>
    </row>
    <row r="31" spans="1:9" ht="15.75" customHeight="1">
      <c r="B31" s="360" t="s">
        <v>353</v>
      </c>
      <c r="C31" s="386">
        <f>Operation!C18</f>
        <v>0.20750000000000002</v>
      </c>
      <c r="D31" s="386">
        <f>Operation!E18</f>
        <v>0.20750000000000002</v>
      </c>
      <c r="E31" s="386">
        <f>Operation!G18</f>
        <v>0.20750000000000002</v>
      </c>
      <c r="F31" s="386" t="str">
        <f>Operation!I18</f>
        <v/>
      </c>
      <c r="G31" s="386">
        <f>IF(F31&lt;&gt;"",F31,IF(E31&lt;&gt;"",E31,D31))</f>
        <v>0.20750000000000002</v>
      </c>
      <c r="I31" s="72"/>
    </row>
    <row r="32" spans="1:9" ht="15.75" customHeight="1" thickBot="1">
      <c r="B32" s="361" t="s">
        <v>352</v>
      </c>
      <c r="C32" s="364">
        <f>C30*(C29*(1-Operation!C18))</f>
        <v>-379800.69579299435</v>
      </c>
      <c r="D32" s="364">
        <f>(D30*D29)*(1-D31)</f>
        <v>6783.8</v>
      </c>
      <c r="E32" s="365">
        <f>IF(E28="","",(E30*E29)*(1-E31))</f>
        <v>7122.99</v>
      </c>
      <c r="F32" s="365" t="str">
        <f>IF(F28="","",(F30*F29)*(1-F31))</f>
        <v/>
      </c>
      <c r="G32" s="364">
        <f>(G30*G29)*(1-Operation!E18)</f>
        <v>7479.1394999999993</v>
      </c>
      <c r="I32" s="72"/>
    </row>
    <row r="33" spans="1:9" ht="15.75" customHeight="1" thickTop="1">
      <c r="B33" s="360" t="s">
        <v>336</v>
      </c>
      <c r="C33" s="183">
        <f>C28-C32</f>
        <v>6025964.7473979937</v>
      </c>
      <c r="D33" s="182">
        <f>D28-D32</f>
        <v>2445776.2236530008</v>
      </c>
      <c r="E33" s="182">
        <f>IF(E28="","",E28-E32)</f>
        <v>4406880.2270284751</v>
      </c>
      <c r="F33" s="182" t="str">
        <f>IF(F28="","",F28-F32)</f>
        <v/>
      </c>
      <c r="G33" s="369">
        <f>G28-G32</f>
        <v>4494804.1418690458</v>
      </c>
      <c r="I33" s="72" t="s">
        <v>341</v>
      </c>
    </row>
    <row r="34" spans="1:9" ht="15.75" customHeight="1">
      <c r="B34" s="267" t="s">
        <v>337</v>
      </c>
      <c r="C34" s="184">
        <f>C33/(Common_Shares/Data!$C$4)</f>
        <v>0.73740250647240957</v>
      </c>
      <c r="D34" s="275">
        <f>D33/(Common_Shares/Data!$C$4)</f>
        <v>0.29929174716315859</v>
      </c>
      <c r="E34" s="275">
        <f>IF(E33="","",E33/(Common_Shares/Data!$C$4))</f>
        <v>0.53927373646480303</v>
      </c>
      <c r="F34" s="275" t="str">
        <f>IF(F33="","",F33/(Common_Shares/Data!$C$4))</f>
        <v/>
      </c>
      <c r="G34" s="184">
        <f>G33/(Common_Shares/Data!$C$4)</f>
        <v>0.55003306180109868</v>
      </c>
      <c r="H34" s="6"/>
      <c r="I34" s="72"/>
    </row>
    <row r="35" spans="1:9" ht="15.75" customHeight="1">
      <c r="B35" s="360" t="s">
        <v>343</v>
      </c>
      <c r="C35" s="368">
        <f>Dashboard!C31</f>
        <v>9.5419999999999998</v>
      </c>
      <c r="D35" s="210">
        <f ca="1">D10</f>
        <v>0.06</v>
      </c>
      <c r="E35" s="18">
        <f ca="1">IF(E10="","",E10)</f>
        <v>0.06</v>
      </c>
      <c r="F35" s="18" t="str">
        <f>IF(F10="","",F10)</f>
        <v/>
      </c>
      <c r="G35" s="379">
        <f ca="1">G10</f>
        <v>0.06</v>
      </c>
      <c r="I35" s="72"/>
    </row>
    <row r="36" spans="1:9" ht="15.75" customHeight="1" thickBot="1">
      <c r="B36" s="361" t="s">
        <v>342</v>
      </c>
      <c r="C36" s="373"/>
      <c r="D36" s="374">
        <f ca="1">C35*D35</f>
        <v>0.57251999999999992</v>
      </c>
      <c r="E36" s="375">
        <f ca="1">IF(E35="","", $D$36)</f>
        <v>0.57251999999999992</v>
      </c>
      <c r="F36" s="375" t="str">
        <f>IF(F35="","", $D$36)</f>
        <v/>
      </c>
      <c r="G36" s="380">
        <f ca="1">D36</f>
        <v>0.57251999999999992</v>
      </c>
      <c r="H36" s="6"/>
      <c r="I36" s="72"/>
    </row>
    <row r="37" spans="1:9" ht="15.75" customHeight="1" thickTop="1">
      <c r="B37" s="5" t="s">
        <v>338</v>
      </c>
      <c r="C37" s="389">
        <f>'Qualitative Analysis'!E64^2</f>
        <v>0.23697688925910498</v>
      </c>
      <c r="D37" s="371">
        <f ca="1">D34-D36</f>
        <v>-0.27322825283684132</v>
      </c>
      <c r="E37" s="371">
        <f ca="1">IF(E34="","",E34-E36)</f>
        <v>-3.3246263535196885E-2</v>
      </c>
      <c r="F37" s="371" t="str">
        <f>IF(F34="","",F34-F36)</f>
        <v/>
      </c>
      <c r="G37" s="372">
        <f ca="1">G34-G36</f>
        <v>-2.2486938198901241E-2</v>
      </c>
      <c r="I37" s="72" t="s">
        <v>340</v>
      </c>
    </row>
    <row r="38" spans="1:9" ht="15.75" customHeight="1" thickBot="1">
      <c r="B38" s="5" t="s">
        <v>142</v>
      </c>
      <c r="C38" s="370"/>
      <c r="D38" s="376">
        <f ca="1">D11</f>
        <v>1.06</v>
      </c>
      <c r="E38" s="376">
        <f ca="1">E11</f>
        <v>1.1236000000000002</v>
      </c>
      <c r="F38" s="376" t="str">
        <f>F11</f>
        <v/>
      </c>
      <c r="G38" s="376">
        <f ca="1">IF(F30="",IF(E30="",D38,E38),F38)*(1+G35-C37)</f>
        <v>0.92474876722846988</v>
      </c>
      <c r="I38" s="72"/>
    </row>
    <row r="39" spans="1:9" ht="15.75" customHeight="1" thickTop="1">
      <c r="B39" s="5" t="s">
        <v>351</v>
      </c>
      <c r="C39" s="377"/>
      <c r="D39" s="378">
        <f ca="1">D37/D38</f>
        <v>-0.25776250267626538</v>
      </c>
      <c r="E39" s="378">
        <f ca="1">IF(E37="","",E37/E38)</f>
        <v>-2.9589056190100462E-2</v>
      </c>
      <c r="F39" s="378" t="str">
        <f>IF(F37="","",F37/F38)</f>
        <v/>
      </c>
      <c r="G39" s="378">
        <f ca="1">G37/G38</f>
        <v>-2.4316807976177149E-2</v>
      </c>
      <c r="I39" s="72"/>
    </row>
    <row r="40" spans="1:9" ht="15.75" customHeight="1" thickBot="1">
      <c r="B40" s="6"/>
      <c r="C40" s="6"/>
      <c r="D40" s="6"/>
      <c r="E40" s="494" t="s">
        <v>361</v>
      </c>
      <c r="F40" s="495"/>
      <c r="G40" s="387">
        <f>Asset_Model!D7</f>
        <v>11.587681064476177</v>
      </c>
    </row>
    <row r="41" spans="1:9" ht="15.75" customHeight="1" thickTop="1">
      <c r="E41" s="492" t="s">
        <v>346</v>
      </c>
      <c r="F41" s="493"/>
      <c r="G41" s="363">
        <f ca="1">(G40+SUM(D39:G39))*Exchange_Rate</f>
        <v>11.276012697633634</v>
      </c>
    </row>
    <row r="42" spans="1:9" ht="15.5" customHeight="1"/>
    <row r="43" spans="1:9" ht="15.75" customHeight="1">
      <c r="B43" s="25" t="s">
        <v>311</v>
      </c>
      <c r="C43" s="488" t="s">
        <v>143</v>
      </c>
      <c r="D43" s="489"/>
      <c r="E43" s="29" t="s">
        <v>208</v>
      </c>
      <c r="F43" s="29" t="s">
        <v>18</v>
      </c>
      <c r="G43" s="29"/>
    </row>
    <row r="44" spans="1:9" ht="15.75" customHeight="1">
      <c r="B44" s="232" t="s">
        <v>309</v>
      </c>
      <c r="C44" s="230">
        <f ca="1">MIN(G24,G41)+ABS(G24-G41)*'Qualitative Analysis'!$E$8</f>
        <v>10.006170793198937</v>
      </c>
      <c r="D44" s="115" t="str">
        <f>Dashboard!J4</f>
        <v>HKD</v>
      </c>
      <c r="E44" s="116">
        <f ca="1">(C44-G16)/C9</f>
        <v>8.6957151553703316</v>
      </c>
      <c r="F44" s="151">
        <f ca="1">C44/(Data!C28*Exchange_Rate*Data!C4/Common_Shares)</f>
        <v>0.51677933235442164</v>
      </c>
      <c r="G44" s="85"/>
    </row>
    <row r="45" spans="1:9" ht="15.75" customHeight="1"/>
    <row r="46" spans="1:9" ht="15.75" customHeight="1">
      <c r="A46" s="4"/>
      <c r="B46" s="88" t="s">
        <v>304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354</v>
      </c>
      <c r="C47" s="327">
        <f>Asset_Model!I3*Exchange_Rate*Data!C4/Common_Shares*0.6</f>
        <v>11.697920040145826</v>
      </c>
      <c r="D47" s="326" t="str">
        <f>D44</f>
        <v>HKD</v>
      </c>
      <c r="E47" s="116">
        <f>(C47-G16)/C9</f>
        <v>12.049858479889927</v>
      </c>
      <c r="F47" s="151">
        <f>C47/(Asset_Model!I3*Exchange_Rate*Data!C4/Common_Shares)</f>
        <v>0.6</v>
      </c>
      <c r="I47" s="72" t="s">
        <v>379</v>
      </c>
    </row>
    <row r="48" spans="1:9" ht="15.75" customHeight="1">
      <c r="B48" s="340" t="s">
        <v>355</v>
      </c>
      <c r="C48" s="338">
        <f ca="1">MIN(C47,C44)+ABS(C47-C44)*'Qualitative Analysis'!E64</f>
        <v>10.829718930011994</v>
      </c>
      <c r="D48" s="326" t="str">
        <f>D47</f>
        <v>HKD</v>
      </c>
      <c r="E48" s="116">
        <f ca="1">(C48-G16)/C9</f>
        <v>10.328521252667082</v>
      </c>
      <c r="F48" s="151">
        <f ca="1">C48/(Asset_Model!I3*Exchange_Rate*Data!C4/Common_Shares)</f>
        <v>0.55546894966861082</v>
      </c>
      <c r="I48" s="72"/>
    </row>
    <row r="49" spans="2:6" ht="15.75" customHeight="1">
      <c r="B49" s="325" t="s">
        <v>310</v>
      </c>
      <c r="C49" s="338">
        <f ca="1">MAX(G41,C44)/(1+Dashboard!I14)</f>
        <v>9.020810158106908</v>
      </c>
      <c r="D49" s="326" t="str">
        <f>D47</f>
        <v>HKD</v>
      </c>
      <c r="E49" s="116">
        <f ca="1">(C49-G16)/C9</f>
        <v>6.7420918259064981</v>
      </c>
      <c r="F49" s="151">
        <f ca="1">C49/(Asset_Model!I3*Exchange_Rate*Data!C4/Common_Shares)</f>
        <v>0.46268790317331254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">
    <cfRule type="containsBlanks" dxfId="3" priority="1">
      <formula>LEN(TRIM(E4))=0</formula>
    </cfRule>
  </conditionalFormatting>
  <conditionalFormatting sqref="E28:F39">
    <cfRule type="containsBlanks" dxfId="2" priority="15">
      <formula>LEN(TRIM(E28))=0</formula>
    </cfRule>
  </conditionalFormatting>
  <conditionalFormatting sqref="E22:G23">
    <cfRule type="cellIs" dxfId="1" priority="39" operator="equal">
      <formula>#REF!</formula>
    </cfRule>
  </conditionalFormatting>
  <conditionalFormatting sqref="G28:G32">
    <cfRule type="containsBlanks" dxfId="0" priority="2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8" zoomScaleNormal="100" workbookViewId="0">
      <selection activeCell="E8" sqref="E8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2</v>
      </c>
      <c r="E3" s="30" t="s">
        <v>145</v>
      </c>
      <c r="G3" s="77" t="s">
        <v>280</v>
      </c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3</v>
      </c>
      <c r="E4" s="30" t="s">
        <v>146</v>
      </c>
      <c r="G4" s="75"/>
    </row>
    <row r="5" spans="1:7" ht="14">
      <c r="B5" s="6" t="s">
        <v>253</v>
      </c>
      <c r="C5" s="92"/>
      <c r="D5" s="90">
        <f>AVERAGE(D12:D16)</f>
        <v>1.4</v>
      </c>
      <c r="E5" s="98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254</v>
      </c>
      <c r="C6" s="92"/>
      <c r="D6" s="90">
        <f>AVERAGE(D24:D28)</f>
        <v>3.2</v>
      </c>
      <c r="E6" s="98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2.3200000000000003</v>
      </c>
      <c r="E8" s="94">
        <f>D8/4</f>
        <v>0.58000000000000007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2</v>
      </c>
      <c r="E13" s="30" t="s">
        <v>145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0</v>
      </c>
      <c r="E14" s="30" t="s">
        <v>168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0</v>
      </c>
      <c r="E15" s="30" t="s">
        <v>168</v>
      </c>
      <c r="F15" s="6"/>
      <c r="G15" s="266" t="s">
        <v>315</v>
      </c>
    </row>
    <row r="16" spans="1:7" ht="15" customHeight="1">
      <c r="B16" s="52" t="s">
        <v>154</v>
      </c>
      <c r="D16" s="96">
        <f>IF(E16="Strongly disagree",0,IF(E16="disagree",1,IF(E16="unclear",2,IF(E16="agree",3,4))))</f>
        <v>4</v>
      </c>
      <c r="E16" s="30" t="s">
        <v>155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2</v>
      </c>
      <c r="E19" s="30" t="s">
        <v>145</v>
      </c>
      <c r="F19" s="6"/>
      <c r="G19" s="266"/>
    </row>
    <row r="20" spans="2:7" ht="15" customHeight="1">
      <c r="B20" s="52" t="s">
        <v>158</v>
      </c>
      <c r="D20" s="96">
        <f t="shared" si="1"/>
        <v>0</v>
      </c>
      <c r="E20" s="30" t="s">
        <v>168</v>
      </c>
      <c r="F20" s="6"/>
      <c r="G20" s="266"/>
    </row>
    <row r="21" spans="2:7" ht="15" customHeight="1">
      <c r="B21" s="52" t="s">
        <v>159</v>
      </c>
      <c r="D21" s="96">
        <f t="shared" si="1"/>
        <v>0</v>
      </c>
      <c r="E21" s="30" t="s">
        <v>168</v>
      </c>
      <c r="F21" s="6"/>
      <c r="G21" s="266"/>
    </row>
    <row r="22" spans="2:7" ht="15" customHeight="1">
      <c r="B22" s="52" t="s">
        <v>160</v>
      </c>
      <c r="D22" s="96">
        <f t="shared" si="1"/>
        <v>0</v>
      </c>
      <c r="E22" s="30" t="s">
        <v>168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4</v>
      </c>
      <c r="E24" s="30" t="s">
        <v>155</v>
      </c>
      <c r="F24" s="6"/>
      <c r="G24" s="266"/>
    </row>
    <row r="25" spans="2:7" ht="15" customHeight="1">
      <c r="B25" s="52" t="s">
        <v>163</v>
      </c>
      <c r="D25" s="96">
        <f t="shared" si="2"/>
        <v>3</v>
      </c>
      <c r="E25" s="30" t="s">
        <v>146</v>
      </c>
      <c r="F25" s="6"/>
      <c r="G25" s="266"/>
    </row>
    <row r="26" spans="2:7" ht="15" customHeight="1">
      <c r="B26" s="52" t="s">
        <v>259</v>
      </c>
      <c r="D26" s="96">
        <f t="shared" si="2"/>
        <v>3</v>
      </c>
      <c r="E26" s="30" t="s">
        <v>146</v>
      </c>
      <c r="F26" s="6"/>
      <c r="G26" s="266"/>
    </row>
    <row r="27" spans="2:7" ht="15" customHeight="1">
      <c r="B27" s="52" t="s">
        <v>260</v>
      </c>
      <c r="D27" s="96">
        <f t="shared" si="2"/>
        <v>3</v>
      </c>
      <c r="E27" s="30" t="s">
        <v>146</v>
      </c>
      <c r="F27" s="6"/>
      <c r="G27" s="266"/>
    </row>
    <row r="28" spans="2:7" ht="15" customHeight="1">
      <c r="B28" s="52" t="s">
        <v>164</v>
      </c>
      <c r="D28" s="96">
        <f t="shared" si="2"/>
        <v>3</v>
      </c>
      <c r="E28" s="30" t="s">
        <v>146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0.6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2</v>
      </c>
      <c r="E31" s="30" t="s">
        <v>145</v>
      </c>
      <c r="F31" s="6"/>
      <c r="G31" s="266"/>
    </row>
    <row r="32" spans="2:7" ht="15" customHeight="1">
      <c r="B32" s="52" t="s">
        <v>261</v>
      </c>
      <c r="D32" s="96">
        <f t="shared" si="3"/>
        <v>4</v>
      </c>
      <c r="E32" s="30" t="s">
        <v>155</v>
      </c>
      <c r="F32" s="6"/>
      <c r="G32" s="266"/>
    </row>
    <row r="33" spans="2:7" ht="15" customHeight="1">
      <c r="B33" s="52" t="s">
        <v>262</v>
      </c>
      <c r="D33" s="96">
        <f t="shared" si="3"/>
        <v>0</v>
      </c>
      <c r="E33" s="30" t="s">
        <v>168</v>
      </c>
      <c r="F33" s="6"/>
      <c r="G33" s="266"/>
    </row>
    <row r="34" spans="2:7" ht="15" customHeight="1">
      <c r="B34" s="52" t="s">
        <v>263</v>
      </c>
      <c r="D34" s="96">
        <f t="shared" si="3"/>
        <v>2</v>
      </c>
      <c r="E34" s="30" t="s">
        <v>145</v>
      </c>
      <c r="F34" s="6"/>
      <c r="G34" s="266"/>
    </row>
    <row r="35" spans="2:7" ht="15" customHeight="1">
      <c r="B35" s="52" t="s">
        <v>279</v>
      </c>
      <c r="D35" s="96">
        <f t="shared" si="3"/>
        <v>4</v>
      </c>
      <c r="E35" s="30" t="s">
        <v>155</v>
      </c>
      <c r="G35" s="266"/>
    </row>
    <row r="36" spans="2:7" ht="15" customHeight="1">
      <c r="B36" s="1" t="s">
        <v>169</v>
      </c>
      <c r="D36" s="99">
        <f>SUM(D37:D41)/(5*4)</f>
        <v>0.2</v>
      </c>
      <c r="E36" s="48" t="str">
        <f>IF(D36&gt;80%,"Very High",IF(D36&lt;=20%,"Very Low",IF(D36&lt;=40%,"Low",IF(D36&lt;=60%,"Medium","High"))))</f>
        <v>Very 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1</v>
      </c>
      <c r="E37" s="30" t="s">
        <v>153</v>
      </c>
      <c r="F37" s="6"/>
      <c r="G37" s="266"/>
    </row>
    <row r="38" spans="2:7" ht="15" customHeight="1">
      <c r="B38" s="52" t="s">
        <v>264</v>
      </c>
      <c r="D38" s="96">
        <f t="shared" si="4"/>
        <v>1</v>
      </c>
      <c r="E38" s="30" t="s">
        <v>153</v>
      </c>
      <c r="F38" s="6"/>
      <c r="G38" s="266"/>
    </row>
    <row r="39" spans="2:7" ht="15" customHeight="1">
      <c r="B39" s="52" t="s">
        <v>265</v>
      </c>
      <c r="D39" s="96">
        <f t="shared" si="4"/>
        <v>1</v>
      </c>
      <c r="E39" s="30" t="s">
        <v>153</v>
      </c>
      <c r="F39" s="6"/>
      <c r="G39" s="266"/>
    </row>
    <row r="40" spans="2:7" ht="15" customHeight="1">
      <c r="B40" s="52" t="s">
        <v>266</v>
      </c>
      <c r="D40" s="96">
        <f t="shared" si="4"/>
        <v>0</v>
      </c>
      <c r="E40" s="30" t="s">
        <v>168</v>
      </c>
      <c r="F40" s="6"/>
      <c r="G40" s="266"/>
    </row>
    <row r="41" spans="2:7" ht="15" customHeight="1">
      <c r="B41" s="52" t="s">
        <v>267</v>
      </c>
      <c r="D41" s="96">
        <f t="shared" si="4"/>
        <v>1</v>
      </c>
      <c r="E41" s="30" t="s">
        <v>153</v>
      </c>
      <c r="G41" s="266"/>
    </row>
    <row r="42" spans="2:7" ht="15" customHeight="1">
      <c r="B42" s="1" t="s">
        <v>171</v>
      </c>
      <c r="D42" s="99">
        <f>SUM(D43:D48)/(6*4)</f>
        <v>0.58333333333333337</v>
      </c>
      <c r="E42" s="48" t="str">
        <f>IF(D42&gt;80%,"Very High",IF(D42&lt;=20%,"Very Low",IF(D42&lt;=40%,"Low",IF(D42&lt;=60%,"Medium","High"))))</f>
        <v>Medium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2</v>
      </c>
      <c r="E43" s="30" t="s">
        <v>145</v>
      </c>
      <c r="F43" s="6"/>
      <c r="G43" s="266"/>
    </row>
    <row r="44" spans="2:7" ht="15" customHeight="1">
      <c r="B44" s="52" t="s">
        <v>173</v>
      </c>
      <c r="D44" s="96">
        <f t="shared" si="5"/>
        <v>4</v>
      </c>
      <c r="E44" s="30" t="s">
        <v>155</v>
      </c>
      <c r="F44" s="6"/>
      <c r="G44" s="266"/>
    </row>
    <row r="45" spans="2:7" ht="15" customHeight="1">
      <c r="B45" s="52" t="s">
        <v>174</v>
      </c>
      <c r="D45" s="96">
        <f t="shared" si="5"/>
        <v>4</v>
      </c>
      <c r="E45" s="30" t="s">
        <v>155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4</v>
      </c>
      <c r="E47" s="30" t="s">
        <v>155</v>
      </c>
      <c r="F47" s="6"/>
      <c r="G47" s="266"/>
    </row>
    <row r="48" spans="2:7" ht="15" customHeight="1">
      <c r="B48" s="52" t="s">
        <v>202</v>
      </c>
      <c r="D48" s="96">
        <f t="shared" si="5"/>
        <v>0</v>
      </c>
      <c r="E48" s="30" t="s">
        <v>168</v>
      </c>
      <c r="F48" s="6"/>
      <c r="G48" s="266"/>
    </row>
    <row r="49" spans="2:8" ht="15" customHeight="1">
      <c r="B49" s="1" t="s">
        <v>177</v>
      </c>
      <c r="D49" s="99">
        <f>SUM(D50:D54)/(5*4)</f>
        <v>0.29727891156462583</v>
      </c>
      <c r="E49" s="48" t="str">
        <f>IF(D49&gt;80%,"Very High",IF(D49&lt;=20%,"Very Low",IF(D49&lt;=40%,"Low",IF(D49&lt;=60%,"Medium","High"))))</f>
        <v>Low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0</v>
      </c>
      <c r="E52" s="30" t="s">
        <v>168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1.9455782312925169</v>
      </c>
      <c r="E54" s="30" t="s">
        <v>382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0.83333333333333337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3</v>
      </c>
      <c r="E56" s="30" t="s">
        <v>146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4</v>
      </c>
      <c r="E58" s="30" t="s">
        <v>155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1</v>
      </c>
      <c r="E61" s="30" t="s">
        <v>153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0.4972108843537415</v>
      </c>
      <c r="E62" s="48" t="str">
        <f>IF(D62&gt;80%,"Very Low",IF(D62&lt;=20%,"Very High",IF(D62&lt;=40%,"High",IF(D62&lt;=60%,"Medium","Low"))))</f>
        <v>Medium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1.9472108843537415</v>
      </c>
      <c r="E64" s="119">
        <f>AVERAGE(AVERAGE(D12:D16)/4,AVERAGE(D18:D22)/4,AVERAGE(D24:D28)/4,D62)</f>
        <v>0.48680272108843536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2023-08-22T01:20:59Z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