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8B055418-0F9A-4251-9FB5-66AAF5CB9C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0" i="1" l="1"/>
  <c r="E6" i="4"/>
  <c r="D6" i="4"/>
  <c r="G18" i="7"/>
  <c r="G13" i="7"/>
  <c r="E13" i="7"/>
  <c r="E19" i="7"/>
  <c r="C19" i="7"/>
  <c r="D5" i="7"/>
  <c r="D6" i="7"/>
  <c r="D7" i="7"/>
  <c r="D8" i="7"/>
  <c r="D9" i="7"/>
  <c r="D10" i="7"/>
  <c r="D11" i="7"/>
  <c r="C12" i="7"/>
  <c r="C13" i="7"/>
  <c r="E13" i="3"/>
  <c r="C17" i="3"/>
  <c r="C36" i="3"/>
  <c r="C36" i="1"/>
  <c r="C35" i="1"/>
  <c r="C15" i="7"/>
  <c r="B16" i="1"/>
  <c r="G19" i="7" l="1"/>
  <c r="I32" i="3"/>
  <c r="E11" i="3"/>
  <c r="E12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G19" i="3"/>
  <c r="G20" i="3"/>
  <c r="G31" i="3"/>
  <c r="G33" i="3"/>
  <c r="G34" i="3"/>
  <c r="G35" i="3"/>
  <c r="D53" i="3"/>
  <c r="I53" i="3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D63" i="3" s="1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B18" i="1"/>
  <c r="B15" i="1"/>
  <c r="G21" i="4"/>
  <c r="F21" i="4"/>
  <c r="C12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5" i="7"/>
  <c r="I17" i="7" s="1"/>
  <c r="I22" i="7" s="1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8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5" i="7"/>
  <c r="G17" i="7" s="1"/>
  <c r="G22" i="7" s="1"/>
  <c r="C25" i="3"/>
  <c r="I7" i="3" s="1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I20" i="7" l="1"/>
  <c r="I21" i="7"/>
  <c r="D36" i="5"/>
  <c r="E36" i="5" s="1"/>
  <c r="D6" i="5"/>
  <c r="E6" i="5" s="1"/>
  <c r="D4" i="7"/>
  <c r="D12" i="7"/>
  <c r="D55" i="5"/>
  <c r="E55" i="5" s="1"/>
  <c r="D49" i="5"/>
  <c r="E49" i="5" s="1"/>
  <c r="D42" i="5"/>
  <c r="E42" i="5" s="1"/>
  <c r="D30" i="5"/>
  <c r="E30" i="5" s="1"/>
  <c r="D5" i="5"/>
  <c r="E5" i="5" s="1"/>
  <c r="D31" i="4"/>
  <c r="D32" i="4"/>
  <c r="D10" i="4"/>
  <c r="G10" i="4"/>
  <c r="G20" i="7"/>
  <c r="C17" i="7"/>
  <c r="C22" i="7" s="1"/>
  <c r="C20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C16" i="7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6" i="4" s="1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E15" i="7" l="1"/>
  <c r="E17" i="7" s="1"/>
  <c r="E22" i="7" s="1"/>
  <c r="G21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D3" i="4"/>
  <c r="G3" i="7"/>
  <c r="E3" i="4" s="1"/>
  <c r="E14" i="7"/>
  <c r="C25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I3" i="7" l="1"/>
  <c r="F3" i="4" s="1"/>
  <c r="G4" i="4" s="1"/>
  <c r="B21" i="4" s="1"/>
  <c r="G2" i="4" s="1"/>
  <c r="E45" i="3"/>
  <c r="I45" i="3" s="1"/>
  <c r="J45" i="3" s="1"/>
  <c r="D44" i="3"/>
  <c r="G18" i="4"/>
  <c r="G15" i="4"/>
  <c r="E20" i="7"/>
  <c r="E23" i="7"/>
  <c r="E21" i="7"/>
  <c r="C24" i="7"/>
  <c r="C8" i="4"/>
  <c r="C9" i="4" s="1"/>
  <c r="J10" i="1"/>
  <c r="I25" i="3"/>
  <c r="J25" i="3" s="1"/>
  <c r="D25" i="3"/>
  <c r="D45" i="3" l="1"/>
  <c r="E25" i="7"/>
  <c r="E24" i="7" s="1"/>
  <c r="G23" i="7"/>
  <c r="J26" i="3"/>
  <c r="D18" i="5" s="1"/>
  <c r="E64" i="5" s="1"/>
  <c r="G25" i="7" l="1"/>
  <c r="I23" i="7"/>
  <c r="I25" i="7" s="1"/>
  <c r="D4" i="4"/>
  <c r="F18" i="4"/>
  <c r="E4" i="4"/>
  <c r="G24" i="7"/>
  <c r="E18" i="5"/>
  <c r="D64" i="5"/>
  <c r="E7" i="5" s="1"/>
  <c r="D7" i="5" s="1"/>
  <c r="D8" i="5" s="1"/>
  <c r="E8" i="5" s="1"/>
  <c r="F41" i="1"/>
  <c r="F4" i="4" l="1"/>
  <c r="I24" i="7"/>
  <c r="E7" i="4"/>
  <c r="E8" i="4" s="1"/>
  <c r="D6" i="3"/>
  <c r="D7" i="3" s="1"/>
  <c r="D7" i="4"/>
  <c r="G16" i="4"/>
  <c r="D5" i="4"/>
  <c r="D8" i="4"/>
  <c r="D9" i="4" s="1"/>
  <c r="D11" i="4"/>
  <c r="E5" i="4"/>
  <c r="E10" i="4"/>
  <c r="F39" i="1"/>
  <c r="E6" i="3" l="1"/>
  <c r="F5" i="4"/>
  <c r="F8" i="4"/>
  <c r="F9" i="4" s="1"/>
  <c r="F10" i="4"/>
  <c r="F11" i="4" s="1"/>
  <c r="F16" i="1"/>
  <c r="H16" i="1" s="1"/>
  <c r="E17" i="4"/>
  <c r="D12" i="4"/>
  <c r="E11" i="4"/>
  <c r="E9" i="4"/>
  <c r="F12" i="4" l="1"/>
  <c r="G11" i="4"/>
  <c r="G9" i="4"/>
  <c r="H18" i="1"/>
  <c r="E12" i="4"/>
  <c r="E22" i="4" l="1"/>
  <c r="F22" i="4" s="1"/>
  <c r="G22" i="4" s="1"/>
  <c r="E23" i="4"/>
  <c r="F23" i="4" s="1"/>
  <c r="G23" i="4" s="1"/>
  <c r="C30" i="4" s="1"/>
  <c r="F30" i="4" s="1"/>
  <c r="G24" i="4" l="1"/>
  <c r="C27" i="4" s="1"/>
  <c r="C32" i="4" s="1"/>
  <c r="E30" i="4"/>
  <c r="F27" i="4" l="1"/>
  <c r="E27" i="4"/>
  <c r="E14" i="1"/>
  <c r="C31" i="4"/>
  <c r="I35" i="1" s="1"/>
  <c r="D16" i="1" s="1"/>
  <c r="F32" i="4"/>
  <c r="E32" i="4"/>
  <c r="I36" i="1"/>
  <c r="E31" i="4" l="1"/>
  <c r="E45" i="1"/>
  <c r="E50" i="1" s="1"/>
  <c r="F45" i="1"/>
  <c r="F48" i="1" s="1"/>
  <c r="D18" i="1"/>
  <c r="B17" i="1"/>
  <c r="H17" i="1" s="1"/>
  <c r="F31" i="4"/>
  <c r="F46" i="1"/>
  <c r="E46" i="1"/>
  <c r="J17" i="1" l="1"/>
  <c r="D17" i="1"/>
  <c r="E49" i="1"/>
  <c r="E48" i="1"/>
  <c r="F49" i="1"/>
  <c r="F50" i="1"/>
  <c r="E51" i="1" l="1"/>
  <c r="F51" i="1"/>
</calcChain>
</file>

<file path=xl/sharedStrings.xml><?xml version="1.0" encoding="utf-8"?>
<sst xmlns="http://schemas.openxmlformats.org/spreadsheetml/2006/main" count="418" uniqueCount="349">
  <si>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</si>
  <si>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</si>
  <si>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</si>
  <si>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</si>
  <si>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</si>
  <si>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</si>
  <si>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</si>
  <si>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</si>
  <si>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</si>
  <si>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</si>
  <si>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</si>
  <si>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</si>
  <si>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</si>
  <si>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</si>
  <si>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</si>
  <si>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</si>
  <si>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</si>
  <si>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</si>
  <si>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</si>
  <si>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</si>
  <si>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</si>
  <si>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</si>
  <si>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</si>
  <si>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</si>
  <si>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</si>
  <si>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</si>
  <si>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</si>
  <si>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</si>
  <si>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</si>
  <si>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</si>
  <si>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</si>
  <si>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</si>
  <si>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</si>
  <si>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</si>
  <si>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</si>
  <si>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</si>
  <si>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</si>
  <si>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</si>
  <si>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</si>
  <si>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</si>
  <si>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</si>
  <si>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</si>
  <si>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</si>
  <si>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</si>
  <si>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</si>
  <si>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</si>
  <si>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</si>
  <si>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</si>
  <si>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</si>
  <si>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</si>
  <si>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</si>
  <si>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</si>
  <si>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</si>
  <si>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</si>
  <si>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</si>
  <si>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</si>
  <si>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</si>
  <si>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</si>
  <si>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</si>
  <si>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</si>
  <si>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</si>
  <si>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</si>
  <si>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</si>
  <si>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</si>
  <si>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</si>
  <si>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</si>
  <si>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</si>
  <si>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</si>
  <si>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</si>
  <si>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</si>
  <si>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</si>
  <si>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</si>
  <si>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</si>
  <si>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</si>
  <si>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</si>
  <si>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</si>
  <si>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</si>
  <si>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</si>
  <si>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</si>
  <si>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</si>
  <si>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</si>
  <si>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</si>
  <si>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</si>
  <si>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</si>
  <si>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</si>
  <si>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</si>
  <si>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</si>
  <si>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</si>
  <si>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</si>
  <si>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</si>
  <si>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</si>
  <si>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</si>
  <si>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</si>
  <si>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</si>
  <si>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</si>
  <si>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</si>
  <si>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</si>
  <si>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</si>
  <si>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</si>
  <si>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</si>
  <si>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</si>
  <si>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</si>
  <si>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</si>
  <si>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</si>
  <si>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</si>
  <si>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</si>
  <si>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</si>
  <si>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</si>
  <si>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</si>
  <si>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</si>
  <si>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</si>
  <si>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</si>
  <si>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</si>
  <si>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</si>
  <si>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</si>
  <si>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</si>
  <si>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</si>
  <si>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</si>
  <si>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</si>
  <si>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</si>
  <si>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</si>
  <si>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</si>
  <si>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</si>
  <si>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</si>
  <si>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</si>
  <si>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</si>
  <si>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</si>
  <si>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</si>
  <si>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</si>
  <si>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</si>
  <si>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</si>
  <si>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</si>
  <si>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</si>
  <si>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</si>
  <si>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</si>
  <si>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</si>
  <si>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</si>
  <si>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</si>
  <si>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</si>
  <si>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</si>
  <si>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</si>
  <si>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</si>
  <si>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</si>
  <si>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</si>
  <si>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</si>
  <si>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</si>
  <si>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</si>
  <si>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</si>
  <si>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</si>
  <si>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</si>
  <si>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</si>
  <si>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</si>
  <si>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</si>
  <si>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</si>
  <si>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</si>
  <si>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</si>
  <si>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</si>
  <si>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</si>
  <si>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</si>
  <si>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</si>
  <si>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</si>
  <si>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</si>
  <si>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</si>
  <si>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</si>
  <si>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</si>
  <si>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</si>
  <si>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</si>
  <si>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</si>
  <si>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</si>
  <si>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</si>
  <si>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</si>
  <si>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</si>
  <si>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</si>
  <si>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</si>
  <si>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</si>
  <si>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</si>
  <si>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</si>
  <si>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</si>
  <si>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</si>
  <si>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</si>
  <si>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</si>
  <si>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</si>
  <si>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</si>
  <si>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</si>
  <si>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</si>
  <si>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</si>
  <si>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</si>
  <si>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</si>
  <si>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</si>
  <si>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</si>
  <si>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</si>
  <si>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</si>
  <si>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</si>
  <si>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</si>
  <si>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</si>
  <si>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</si>
  <si>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</si>
  <si>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</si>
  <si>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</si>
  <si>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</si>
  <si>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</si>
  <si>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</si>
  <si>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</si>
  <si>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</si>
  <si>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</si>
  <si>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</si>
  <si>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</si>
  <si>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</si>
  <si>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</si>
  <si>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</si>
  <si>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</si>
  <si>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</si>
  <si>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</si>
  <si>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</si>
  <si>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</si>
  <si>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</si>
  <si>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</si>
  <si>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</si>
  <si>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</si>
  <si>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</si>
  <si>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</si>
  <si>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</si>
  <si>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</si>
  <si>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</si>
  <si>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</si>
  <si>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</si>
  <si>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</si>
  <si>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</si>
  <si>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</si>
  <si>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</si>
  <si>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</si>
  <si>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</si>
  <si>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</si>
  <si>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</si>
  <si>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</si>
  <si>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</si>
  <si>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</si>
  <si>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</si>
  <si>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</si>
  <si>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</si>
  <si>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</si>
  <si>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</si>
  <si>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</si>
  <si>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</si>
  <si>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</si>
  <si>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</si>
  <si>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</si>
  <si>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</si>
  <si>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</si>
  <si>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</si>
  <si>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</si>
  <si>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</si>
  <si>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</si>
  <si>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</si>
  <si>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</si>
  <si>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</si>
  <si>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</si>
  <si>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</si>
  <si>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</si>
  <si>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</si>
  <si>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</si>
  <si>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</si>
  <si>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</si>
  <si>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</si>
  <si>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</si>
  <si>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</si>
  <si>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</si>
  <si>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</si>
  <si>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</si>
  <si>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</si>
  <si>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</si>
  <si>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</si>
  <si>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</si>
  <si>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</si>
  <si>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</si>
  <si>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</si>
  <si>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</si>
  <si>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</si>
  <si>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</si>
  <si>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</si>
  <si>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</si>
  <si>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</si>
  <si>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</si>
  <si>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</si>
  <si>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</si>
  <si>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</si>
  <si>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</si>
  <si>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</si>
  <si>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</si>
  <si>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</si>
  <si>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</si>
  <si>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</si>
  <si>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</si>
  <si>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</si>
  <si>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</si>
  <si>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</si>
  <si>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</si>
  <si>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</si>
  <si>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</si>
  <si>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</si>
  <si>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</si>
  <si>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</si>
  <si>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</si>
  <si>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</si>
  <si>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</si>
  <si>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</si>
  <si>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Expected Exit Price</t>
  </si>
  <si>
    <t>Investment Checklist</t>
  </si>
  <si>
    <t>1. Value Trap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</si>
  <si>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</si>
  <si>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</si>
  <si>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</si>
  <si>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</si>
  <si>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</si>
  <si>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</si>
  <si>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</si>
  <si>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</si>
  <si>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</si>
  <si>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</si>
  <si>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</si>
  <si>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</si>
  <si>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FY</t>
  </si>
  <si>
    <t>CN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</si>
  <si>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</si>
  <si>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</si>
  <si>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</si>
  <si>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</si>
  <si>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a) Don't buy a mediocre value stock with low trading volume and mediocre dividend</t>
  </si>
  <si>
    <t>b) It's far better to buy a wonderful company at a fair price than a fair company at a wonderful price, but it takes more efforts on research</t>
  </si>
  <si>
    <t>a) Don't buy a High growth company with unproven products or products you don't trust</t>
  </si>
  <si>
    <t>b) Don't buy into unsustainable PE ratios</t>
  </si>
  <si>
    <t>1382.HK</t>
  </si>
  <si>
    <t>PACIFICTEXTILES</t>
  </si>
  <si>
    <t>Vietnam</t>
  </si>
  <si>
    <t>PRC</t>
  </si>
  <si>
    <t>Bangladesh</t>
  </si>
  <si>
    <t>Hong Kong</t>
  </si>
  <si>
    <t>Indonesia</t>
  </si>
  <si>
    <t>Sri Lanka</t>
  </si>
  <si>
    <t>Cambodia</t>
  </si>
  <si>
    <t>American Countries</t>
  </si>
  <si>
    <t>Others</t>
  </si>
  <si>
    <t>全球最大訂制針織布生産商之一，專注生産複雜的增值布料</t>
  </si>
  <si>
    <t>1. 客戶集中度很高, UNIQLO一家就占約40%
2. 依賴自由的國際貿易環境
3. 有輕微的負債壓力，存貨周轉率下降</t>
  </si>
  <si>
    <t>1. 東麗Toray Industries的子公司(佔28%)和代工廠
2. 為UNIQLO代工</t>
  </si>
  <si>
    <t>Slow Growers</t>
  </si>
  <si>
    <t>1.工廠轉向東南亞
2.中國紡織業未來會好轉</t>
  </si>
  <si>
    <t>1. 中國PPE投資最大，但近年中國人力成本上升、22年經濟差。
2. 轉移東南亞的再投資成本很高
3. 產業中游。近期上游原材料價格因通脹而上升</t>
  </si>
  <si>
    <t>non-perishable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</si>
</sst>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24" fillId="0" borderId="0" xfId="0" applyFont="1"/>
    <xf numFmtId="4" fontId="27" fillId="13" borderId="101" xfId="0" applyNumberFormat="1" applyFont="1" applyFill="1" applyBorder="1" applyAlignment="1">
      <alignment horizontal="righ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zoomScaleNormal="100" workbookViewId="0">
      <selection activeCell="C5" sqref="C5:D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1382.HK : PACIFICTEXTILES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2" t="s">
        <v>331</v>
      </c>
      <c r="D3" s="413"/>
      <c r="E3" s="15"/>
      <c r="G3" s="7" t="s">
        <v>2</v>
      </c>
      <c r="I3" s="422" t="s">
        <v>3</v>
      </c>
      <c r="J3" s="423"/>
    </row>
    <row r="4" spans="1:12" ht="15.75" customHeight="1">
      <c r="B4" s="5" t="s">
        <v>4</v>
      </c>
      <c r="C4" s="414" t="s">
        <v>332</v>
      </c>
      <c r="D4" s="415"/>
      <c r="E4" s="6"/>
      <c r="G4" s="5" t="s">
        <v>5</v>
      </c>
      <c r="I4" s="32">
        <v>1.96</v>
      </c>
      <c r="J4" s="33" t="s">
        <v>6</v>
      </c>
      <c r="K4" s="149"/>
    </row>
    <row r="5" spans="1:12" ht="15.75" customHeight="1">
      <c r="B5" s="5" t="s">
        <v>7</v>
      </c>
      <c r="C5" s="416">
        <v>45131</v>
      </c>
      <c r="D5" s="415"/>
      <c r="E5" s="120" t="str">
        <f ca="1">IF(C5+30&gt;=TODAY(),"Patience Premium","")</f>
        <v>Patience Premium</v>
      </c>
      <c r="G5" s="5" t="s">
        <v>8</v>
      </c>
      <c r="I5" s="384">
        <v>1404509952</v>
      </c>
      <c r="J5" s="385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45260</v>
      </c>
      <c r="E6" s="322">
        <f>IF(Asset_Model!E9="FY",Asset_Model!D9,Data!C3)</f>
        <v>45016</v>
      </c>
      <c r="G6" s="131" t="s">
        <v>9</v>
      </c>
      <c r="H6" s="130"/>
      <c r="I6" s="424">
        <f>I4*I5/1000000</f>
        <v>2752.8395059200002</v>
      </c>
      <c r="J6" s="425"/>
      <c r="K6" s="148"/>
    </row>
    <row r="7" spans="1:12" ht="15.75" customHeight="1">
      <c r="B7" s="136" t="s">
        <v>10</v>
      </c>
      <c r="C7" s="142">
        <f>(Data!C39*Exchange_Rate)/I4</f>
        <v>0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10.249912522228676</v>
      </c>
      <c r="J9" s="48">
        <f>IF(I9="NNI","NNI",1/I9)</f>
        <v>9.7561808242883061E-2</v>
      </c>
    </row>
    <row r="10" spans="1:12" ht="15.75" customHeight="1">
      <c r="B10" s="3" t="s">
        <v>255</v>
      </c>
      <c r="C10" s="279" t="s">
        <v>322</v>
      </c>
      <c r="D10" s="279">
        <v>2.8999999999999998E-2</v>
      </c>
      <c r="E10" s="5"/>
      <c r="G10" s="5" t="s">
        <v>14</v>
      </c>
      <c r="I10" s="135">
        <f>I4/(Data!C28*I12*Data!C4/Common_Shares)</f>
        <v>0.89129702964180602</v>
      </c>
      <c r="J10" s="127">
        <f>IF(Asset_Model!D60/'FCFF Model'!C4&lt;0,"Negative EV",Asset_Model!D60/'FCFF Model'!C4)</f>
        <v>12.019818615002015</v>
      </c>
    </row>
    <row r="11" spans="1:12" ht="15.75" customHeight="1" thickBot="1">
      <c r="B11" s="288" t="s">
        <v>256</v>
      </c>
      <c r="C11" s="382">
        <f ca="1">C12-D10</f>
        <v>6.7000000000000004E-2</v>
      </c>
      <c r="D11" s="383"/>
      <c r="E11" s="13"/>
      <c r="G11" s="5" t="s">
        <v>15</v>
      </c>
      <c r="H11" s="6"/>
      <c r="I11" s="379" t="s">
        <v>6</v>
      </c>
      <c r="J11" s="380"/>
    </row>
    <row r="12" spans="1:12" ht="15.75" customHeight="1" thickTop="1">
      <c r="B12" s="289" t="s">
        <v>143</v>
      </c>
      <c r="C12" s="430">
        <f ca="1">IF(C10="CN",8%,6%)*IF($C$5+30&gt;=TODAY(),1.2,1)</f>
        <v>9.6000000000000002E-2</v>
      </c>
      <c r="D12" s="431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311</v>
      </c>
      <c r="D14" s="239"/>
      <c r="E14" s="190">
        <f ca="1">'FCFF Model'!C27</f>
        <v>0.8509239883824179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3" t="s">
        <v>21</v>
      </c>
      <c r="I15" s="88" t="s">
        <v>310</v>
      </c>
      <c r="J15" s="88" t="s">
        <v>20</v>
      </c>
    </row>
    <row r="16" spans="1:12" ht="15.75" customHeight="1">
      <c r="B16" s="128">
        <f>I4</f>
        <v>1.96</v>
      </c>
      <c r="C16" s="405">
        <v>0.25</v>
      </c>
      <c r="D16" s="156">
        <f ca="1">I35/B16-(1+J25)</f>
        <v>-0.58448103701069243</v>
      </c>
      <c r="E16" s="396" t="s">
        <v>23</v>
      </c>
      <c r="F16" s="426">
        <f>('FCFF Model'!G16)*Exchange_Rate</f>
        <v>3.0714200307781023E-2</v>
      </c>
      <c r="G16" s="396" t="s">
        <v>24</v>
      </c>
      <c r="H16" s="354">
        <f>B16-$F$16</f>
        <v>1.929285799692219</v>
      </c>
      <c r="I16" s="391">
        <v>2.5100000000000001E-2</v>
      </c>
      <c r="J16" s="158">
        <f>I16/B16</f>
        <v>1.2806122448979593E-2</v>
      </c>
    </row>
    <row r="17" spans="1:10" ht="15.75" customHeight="1">
      <c r="B17" s="269">
        <f ca="1">(I35+I36)/2</f>
        <v>0.94357817908248853</v>
      </c>
      <c r="C17" s="406"/>
      <c r="D17" s="268">
        <f ca="1">I35/B17-(1+J25)</f>
        <v>7.8555602708121341E-2</v>
      </c>
      <c r="E17" s="397"/>
      <c r="F17" s="427"/>
      <c r="G17" s="397"/>
      <c r="H17" s="355">
        <f ca="1">B17-$F$16</f>
        <v>0.91286397877470749</v>
      </c>
      <c r="I17" s="392"/>
      <c r="J17" s="159">
        <f ca="1">I16/B17</f>
        <v>2.6600869494890825E-2</v>
      </c>
    </row>
    <row r="18" spans="1:10" ht="15.75" customHeight="1">
      <c r="B18" s="323">
        <f>C35</f>
        <v>0.94</v>
      </c>
      <c r="C18" s="407"/>
      <c r="D18" s="157">
        <f ca="1">I35/B18-(1+J25)</f>
        <v>8.3422518573449844E-2</v>
      </c>
      <c r="E18" s="398"/>
      <c r="F18" s="428"/>
      <c r="G18" s="398"/>
      <c r="H18" s="356">
        <f>B18-$F$16</f>
        <v>0.9092857996922189</v>
      </c>
      <c r="I18" s="393"/>
      <c r="J18" s="160">
        <f>I16/B18</f>
        <v>2.6702127659574471E-2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345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9" t="s">
        <v>342</v>
      </c>
      <c r="D21" s="420"/>
      <c r="E21" s="420"/>
      <c r="F21" s="420"/>
      <c r="G21" s="420"/>
      <c r="H21" s="420"/>
      <c r="I21" s="420"/>
      <c r="J21" s="421"/>
    </row>
    <row r="22" spans="1:10" ht="52.5" customHeight="1">
      <c r="A22" s="6"/>
      <c r="B22" s="24" t="s">
        <v>27</v>
      </c>
      <c r="C22" s="381" t="s">
        <v>344</v>
      </c>
      <c r="D22" s="365"/>
      <c r="E22" s="365"/>
      <c r="F22" s="365"/>
      <c r="G22" s="381" t="s">
        <v>347</v>
      </c>
      <c r="H22" s="381"/>
      <c r="I22" s="365"/>
      <c r="J22" s="365"/>
    </row>
    <row r="23" spans="1:10" ht="52.5" customHeight="1">
      <c r="A23" s="6"/>
      <c r="B23" s="25" t="s">
        <v>28</v>
      </c>
      <c r="C23" s="394" t="s">
        <v>346</v>
      </c>
      <c r="D23" s="395"/>
      <c r="E23" s="395"/>
      <c r="F23" s="395"/>
      <c r="G23" s="394" t="s">
        <v>343</v>
      </c>
      <c r="H23" s="394"/>
      <c r="I23" s="395"/>
      <c r="J23" s="395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59" t="s">
        <v>326</v>
      </c>
      <c r="I25" s="30"/>
      <c r="J25" s="358">
        <v>0.2</v>
      </c>
    </row>
    <row r="26" spans="1:10" ht="15.75" customHeight="1">
      <c r="B26" s="23" t="s">
        <v>31</v>
      </c>
      <c r="C26" s="417"/>
      <c r="D26" s="418"/>
      <c r="E26" s="402" t="str">
        <f>IF(C26="","","Action_Planning")</f>
        <v/>
      </c>
      <c r="F26" s="403"/>
      <c r="G26" s="403"/>
      <c r="H26" s="404"/>
      <c r="I26" s="429" t="s">
        <v>32</v>
      </c>
      <c r="J26" s="429"/>
    </row>
    <row r="27" spans="1:10" ht="15.75" customHeight="1">
      <c r="B27" s="23" t="s">
        <v>33</v>
      </c>
      <c r="C27" s="390">
        <f>C31/D25</f>
        <v>0.25636363636363635</v>
      </c>
      <c r="D27" s="376"/>
      <c r="E27" s="389">
        <f>E31/D25</f>
        <v>0.13636363636363635</v>
      </c>
      <c r="F27" s="376"/>
      <c r="G27" s="400">
        <f>G31/D25</f>
        <v>0</v>
      </c>
      <c r="H27" s="401"/>
      <c r="I27" s="399">
        <f>C27+E27+G27</f>
        <v>0.3927272727272727</v>
      </c>
      <c r="J27" s="399"/>
    </row>
    <row r="28" spans="1:10" ht="15.75" customHeight="1">
      <c r="B28" s="23" t="s">
        <v>34</v>
      </c>
      <c r="C28" s="364">
        <v>180000</v>
      </c>
      <c r="D28" s="365"/>
      <c r="E28" s="364">
        <v>100000</v>
      </c>
      <c r="F28" s="365"/>
      <c r="G28" s="384"/>
      <c r="H28" s="385"/>
      <c r="I28" s="378">
        <f>C28+E28+G28</f>
        <v>280000</v>
      </c>
      <c r="J28" s="378"/>
    </row>
    <row r="29" spans="1:10" ht="15.75" customHeight="1">
      <c r="B29" s="23" t="s">
        <v>35</v>
      </c>
      <c r="C29" s="366">
        <v>0.94</v>
      </c>
      <c r="D29" s="365"/>
      <c r="E29" s="366">
        <v>0.9</v>
      </c>
      <c r="F29" s="365"/>
      <c r="G29" s="387"/>
      <c r="H29" s="388"/>
      <c r="I29" s="386"/>
      <c r="J29" s="386"/>
    </row>
    <row r="30" spans="1:10" ht="15.75" customHeight="1">
      <c r="B30" s="23" t="s">
        <v>36</v>
      </c>
      <c r="C30" s="362">
        <f>C29*$I$5/1000000</f>
        <v>1320.2393548799998</v>
      </c>
      <c r="D30" s="363"/>
      <c r="E30" s="362">
        <f>E29*$I$5/1000000</f>
        <v>1264.0589568</v>
      </c>
      <c r="F30" s="363"/>
      <c r="G30" s="408">
        <f>G29*$I$5/1000000</f>
        <v>0</v>
      </c>
      <c r="H30" s="409"/>
      <c r="I30" s="377"/>
      <c r="J30" s="377"/>
    </row>
    <row r="31" spans="1:10" ht="15.75" customHeight="1">
      <c r="B31" s="2" t="s">
        <v>37</v>
      </c>
      <c r="C31" s="371">
        <f>C28*C29</f>
        <v>169200</v>
      </c>
      <c r="D31" s="372"/>
      <c r="E31" s="373">
        <f>E28*E29</f>
        <v>90000</v>
      </c>
      <c r="F31" s="374"/>
      <c r="G31" s="410">
        <f>G28*G29</f>
        <v>0</v>
      </c>
      <c r="H31" s="411"/>
      <c r="I31" s="373">
        <f>C31+E31+G31</f>
        <v>259200</v>
      </c>
      <c r="J31" s="373"/>
    </row>
    <row r="32" spans="1:10" ht="15.75" customHeight="1">
      <c r="B32" s="1" t="s">
        <v>38</v>
      </c>
      <c r="C32" s="367"/>
      <c r="D32" s="368"/>
      <c r="E32" s="375">
        <f>IF(C31=0,"-",(C31+E31)/(C28+E28))</f>
        <v>0.92571428571428571</v>
      </c>
      <c r="F32" s="376"/>
      <c r="G32" s="115"/>
      <c r="H32" s="115"/>
      <c r="I32" s="375">
        <f>IF(I31=0,"",I31/I28)</f>
        <v>0.92571428571428571</v>
      </c>
      <c r="J32" s="375"/>
    </row>
    <row r="33" spans="2:11" ht="15.75" customHeight="1">
      <c r="B33" s="1" t="s">
        <v>39</v>
      </c>
      <c r="C33" s="369"/>
      <c r="D33" s="370"/>
      <c r="E33" s="362">
        <f>IF(E32="-","-",E32*$I$5/1000000)</f>
        <v>1300.1749269942859</v>
      </c>
      <c r="F33" s="363"/>
      <c r="G33" s="116"/>
      <c r="H33" s="116"/>
      <c r="I33" s="362">
        <f>IF(I32="","",I32*$I$5/1000000)</f>
        <v>1300.1749269942859</v>
      </c>
      <c r="J33" s="362"/>
    </row>
    <row r="34" spans="2:11" ht="15.75" customHeight="1"/>
    <row r="35" spans="2:11" ht="15.75" customHeight="1">
      <c r="B35" s="143" t="s">
        <v>286</v>
      </c>
      <c r="C35" s="435">
        <f>IF(C26="",C29,E29)</f>
        <v>0.94</v>
      </c>
      <c r="D35" s="436"/>
      <c r="G35" s="437" t="s">
        <v>315</v>
      </c>
      <c r="H35" s="438"/>
      <c r="I35" s="433">
        <f ca="1">'FCFF Model'!C31</f>
        <v>1.2064171674590427</v>
      </c>
      <c r="J35" s="434"/>
    </row>
    <row r="36" spans="2:11" ht="15.75" customHeight="1">
      <c r="B36" s="143" t="s">
        <v>316</v>
      </c>
      <c r="C36" s="435">
        <f>IF(C26="",C29,E32)</f>
        <v>0.94</v>
      </c>
      <c r="D36" s="436"/>
      <c r="G36" s="432" t="s">
        <v>313</v>
      </c>
      <c r="H36" s="432"/>
      <c r="I36" s="433">
        <f ca="1">'FCFF Model'!C32</f>
        <v>0.68073919070593436</v>
      </c>
      <c r="J36" s="434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0.45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80%-(5%*IF(LEFT(D20,2)="St",1,IF(LEFT(D20,2)="Sl",3,IF(LEFT(D20,2)="Cy",4,IF(LEFT(D20,2)="Tu",5,IF(LEFT(D20,2)="Fa",6,0))))))</f>
        <v>0.65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0.45630102040816323</v>
      </c>
      <c r="G41" s="331"/>
      <c r="H41" s="114"/>
      <c r="I41" s="114"/>
      <c r="J41" s="114"/>
    </row>
    <row r="42" spans="2:11" ht="15.75" customHeight="1">
      <c r="B42" s="3" t="s">
        <v>320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317</v>
      </c>
      <c r="F44" s="258" t="s">
        <v>318</v>
      </c>
    </row>
    <row r="45" spans="2:11" ht="15.75" customHeight="1">
      <c r="B45" s="3" t="s">
        <v>299</v>
      </c>
      <c r="E45" s="329">
        <f ca="1">I35/C29-1</f>
        <v>0.2834225185734498</v>
      </c>
      <c r="F45" s="332">
        <f ca="1">I35/C36-1</f>
        <v>0.2834225185734498</v>
      </c>
    </row>
    <row r="46" spans="2:11" ht="15.75" customHeight="1">
      <c r="B46" s="3" t="s">
        <v>300</v>
      </c>
      <c r="E46" s="329">
        <f ca="1">I36/C29-1</f>
        <v>-0.27580937158943153</v>
      </c>
      <c r="F46" s="332">
        <f ca="1">I36/C36-1</f>
        <v>-0.27580937158943153</v>
      </c>
    </row>
    <row r="47" spans="2:11" ht="15.75" customHeight="1"/>
    <row r="48" spans="2:11" ht="15.75" customHeight="1">
      <c r="B48" s="3" t="s">
        <v>302</v>
      </c>
      <c r="E48" s="352">
        <f ca="1">IF(E45&lt;=0,0,AVERAGE(F39:F41,1-F42,E45/J25))</f>
        <v>0.69468272265508246</v>
      </c>
      <c r="F48" s="329">
        <f ca="1">IF(F45&lt;=0,0,AVERAGE(F39:F41,1-F42,F45/J25))</f>
        <v>0.69468272265508246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1.0276029307493988</v>
      </c>
      <c r="F49" s="328">
        <f ca="1">IF(F46&gt;=0,100,F45/ABS(F46))</f>
        <v>1.0276029307493988</v>
      </c>
      <c r="G49" s="73"/>
    </row>
    <row r="50" spans="2:9" ht="15.75" customHeight="1">
      <c r="B50" s="3" t="s">
        <v>325</v>
      </c>
      <c r="E50" s="357">
        <f ca="1">MAX(J25*2/E45,1)</f>
        <v>1.4113204625141273</v>
      </c>
      <c r="F50" s="357">
        <f ca="1">MAX(J25*2/F45,1)</f>
        <v>1.4113204625141273</v>
      </c>
      <c r="G50" s="330"/>
      <c r="H50" s="84"/>
      <c r="I50" s="84"/>
    </row>
    <row r="51" spans="2:9" ht="15.75" customHeight="1">
      <c r="B51" s="3" t="s">
        <v>324</v>
      </c>
      <c r="E51" s="327">
        <f ca="1">MIN(MAX(E48-ABS((1-E48)/E49),0)/E50,H51)</f>
        <v>0.28169840116116723</v>
      </c>
      <c r="F51" s="327">
        <f ca="1">MIN(MAX(F48-ABS((1-F48)/F49),0)/F50,H51)</f>
        <v>0.28169840116116723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307</v>
      </c>
    </row>
    <row r="54" spans="2:9" ht="15.75" customHeight="1">
      <c r="B54" s="360" t="s">
        <v>308</v>
      </c>
    </row>
    <row r="55" spans="2:9" ht="15.75" customHeight="1">
      <c r="B55" s="3" t="s">
        <v>327</v>
      </c>
    </row>
    <row r="56" spans="2:9" ht="15.75" customHeight="1">
      <c r="B56" s="3" t="s">
        <v>328</v>
      </c>
    </row>
    <row r="57" spans="2:9" ht="15.75" customHeight="1"/>
    <row r="58" spans="2:9" ht="15.75" customHeight="1">
      <c r="B58" s="360" t="s">
        <v>309</v>
      </c>
    </row>
    <row r="59" spans="2:9" ht="15.75" customHeight="1">
      <c r="B59" s="3" t="s">
        <v>329</v>
      </c>
    </row>
    <row r="60" spans="2:9" ht="15.75" customHeight="1">
      <c r="B60" s="3" t="s">
        <v>330</v>
      </c>
    </row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G36:H36"/>
    <mergeCell ref="I36:J36"/>
    <mergeCell ref="C36:D36"/>
    <mergeCell ref="C35:D35"/>
    <mergeCell ref="I35:J35"/>
    <mergeCell ref="G35:H35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disablePrompts="1"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0" sqref="C10:F10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45016</v>
      </c>
      <c r="D3" s="6"/>
      <c r="E3" s="176">
        <v>1</v>
      </c>
      <c r="F3" s="174">
        <f t="array" ref="F3">AVERAGE(C19:INDEX(C19:M19,1,E3))</f>
        <v>268572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286566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45016</v>
      </c>
      <c r="D6" s="263">
        <f>EOMONTH(EDATE(C6,-12),0)</f>
        <v>44651</v>
      </c>
      <c r="E6" s="263">
        <f t="shared" ref="E6:M6" si="0">EOMONTH(EDATE(D6,-12),0)</f>
        <v>44286</v>
      </c>
      <c r="F6" s="263">
        <f t="shared" si="0"/>
        <v>43921</v>
      </c>
      <c r="G6" s="263">
        <f t="shared" si="0"/>
        <v>43555</v>
      </c>
      <c r="H6" s="263">
        <f t="shared" si="0"/>
        <v>43190</v>
      </c>
      <c r="I6" s="263">
        <f t="shared" si="0"/>
        <v>42825</v>
      </c>
      <c r="J6" s="263">
        <f t="shared" si="0"/>
        <v>42460</v>
      </c>
      <c r="K6" s="263">
        <f t="shared" si="0"/>
        <v>42094</v>
      </c>
      <c r="L6" s="263">
        <f t="shared" si="0"/>
        <v>41729</v>
      </c>
      <c r="M6" s="263">
        <f t="shared" si="0"/>
        <v>41364</v>
      </c>
    </row>
    <row r="7" spans="1:14" ht="15.75" customHeight="1">
      <c r="A7" s="9"/>
      <c r="B7" s="43" t="s">
        <v>43</v>
      </c>
      <c r="C7" s="35">
        <v>5018735</v>
      </c>
      <c r="D7" s="35">
        <v>6066310</v>
      </c>
      <c r="E7" s="35">
        <v>5384897</v>
      </c>
      <c r="F7" s="35">
        <v>5476196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-0.17268735030026494</v>
      </c>
      <c r="D8" s="14">
        <f t="shared" si="1"/>
        <v>0.12654151045043194</v>
      </c>
      <c r="E8" s="14">
        <f t="shared" si="1"/>
        <v>-1.6671974487399654E-2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4528748</v>
      </c>
      <c r="D9" s="35">
        <v>5289992</v>
      </c>
      <c r="E9" s="35">
        <v>4523208</v>
      </c>
      <c r="F9" s="35">
        <v>4551618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9.7631574490384523E-2</v>
      </c>
      <c r="D10" s="14">
        <f t="shared" si="2"/>
        <v>0.12797202912478919</v>
      </c>
      <c r="E10" s="14">
        <f t="shared" si="2"/>
        <v>0.16001958811839856</v>
      </c>
      <c r="F10" s="14">
        <f t="shared" si="2"/>
        <v>0.16883581230474584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203421</v>
      </c>
      <c r="D11" s="35">
        <v>252070</v>
      </c>
      <c r="E11" s="35">
        <v>260596</v>
      </c>
      <c r="F11" s="35">
        <v>253904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4.0532325376813075E-2</v>
      </c>
      <c r="D12" s="14">
        <f t="shared" si="3"/>
        <v>4.1552442918347393E-2</v>
      </c>
      <c r="E12" s="14">
        <f t="shared" si="3"/>
        <v>4.8393869000651277E-2</v>
      </c>
      <c r="F12" s="14">
        <f t="shared" si="3"/>
        <v>4.6365031492663883E-2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5.7099249113571449E-2</v>
      </c>
      <c r="D13" s="14">
        <f t="shared" si="4"/>
        <v>8.6419586206441801E-2</v>
      </c>
      <c r="E13" s="14">
        <f t="shared" si="4"/>
        <v>0.11162571911774728</v>
      </c>
      <c r="F13" s="14">
        <f t="shared" si="4"/>
        <v>0.12247078081208196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286566</v>
      </c>
      <c r="D14" s="27">
        <f t="shared" si="5"/>
        <v>524248</v>
      </c>
      <c r="E14" s="27">
        <f t="shared" si="5"/>
        <v>601093</v>
      </c>
      <c r="F14" s="27">
        <f t="shared" si="5"/>
        <v>670674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-0.45337702766629534</v>
      </c>
      <c r="D15" s="14">
        <f t="shared" ref="D15:M15" si="6">IF(E14="","",IF(ABS(D14+E14)=ABS(D14)+ABS(E14),IF(D14&lt;0,-1,1)*(D14-E14)/E14,"Turn"))</f>
        <v>-0.12784211428181663</v>
      </c>
      <c r="E15" s="14">
        <f t="shared" si="6"/>
        <v>-0.10374787154414812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IF(C14="","",C14*(1-Operation!$D$23))</f>
        <v>286566</v>
      </c>
      <c r="D16" s="140">
        <f>IF(D14="","",D14*(1-Operation!$D$23))</f>
        <v>524248</v>
      </c>
      <c r="E16" s="140">
        <f>IF(E14="","",E14*(1-Operation!$D$23))</f>
        <v>601093</v>
      </c>
      <c r="F16" s="140">
        <f>IF(F14="","",F14*(1-Operation!$D$23))</f>
        <v>670674</v>
      </c>
      <c r="G16" s="140" t="str">
        <f>IF(G14="","",G14*(1-Operation!$D$23))</f>
        <v/>
      </c>
      <c r="H16" s="140" t="str">
        <f>IF(H14="","",H14*(1-Operation!$D$23))</f>
        <v/>
      </c>
      <c r="I16" s="140" t="str">
        <f>IF(I14="","",I14*(1-Operation!$D$23))</f>
        <v/>
      </c>
      <c r="J16" s="140" t="str">
        <f>IF(J14="","",J14*(1-Operation!$D$23))</f>
        <v/>
      </c>
      <c r="K16" s="140" t="str">
        <f>IF(K14="","",K14*(1-Operation!$D$23))</f>
        <v/>
      </c>
      <c r="L16" s="140" t="str">
        <f>IF(L14="","",L14*(1-Operation!$D$23))</f>
        <v/>
      </c>
      <c r="M16" s="231" t="str">
        <f>IF(M14="","",M14*(1-Operation!$D$23))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5.7099249113571449E-2</v>
      </c>
      <c r="D17" s="126">
        <f t="shared" si="7"/>
        <v>8.6419586206441801E-2</v>
      </c>
      <c r="E17" s="126">
        <f t="shared" si="7"/>
        <v>0.11162571911774728</v>
      </c>
      <c r="F17" s="126">
        <f t="shared" si="7"/>
        <v>0.12247078081208196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48524</v>
      </c>
      <c r="D18" s="141">
        <v>14047</v>
      </c>
      <c r="E18" s="141">
        <v>13102</v>
      </c>
      <c r="F18" s="141">
        <v>11435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268572</v>
      </c>
      <c r="D19" s="35">
        <v>572677</v>
      </c>
      <c r="E19" s="35">
        <v>721491</v>
      </c>
      <c r="F19" s="35">
        <v>743489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-0.53102359619820594</v>
      </c>
      <c r="D20" s="14">
        <f t="shared" ref="D20:M20" si="8">IF(E19="","",IF(ABS(D19+E19)=ABS(D19)+ABS(E19),IF(D19&lt;0,-1,1)*(D19-E19)/E19,"Turn"))</f>
        <v>-0.20625898313353874</v>
      </c>
      <c r="E20" s="14">
        <f t="shared" si="8"/>
        <v>-2.9587525841001012E-2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3233208</v>
      </c>
      <c r="D21" s="35">
        <v>3819804</v>
      </c>
      <c r="E21" s="35">
        <v>3142672</v>
      </c>
      <c r="F21" s="35">
        <v>2900817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2190965</v>
      </c>
      <c r="D22" s="35">
        <v>2261676</v>
      </c>
      <c r="E22" s="35">
        <v>1624654</v>
      </c>
      <c r="F22" s="35">
        <v>1613402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1346085</v>
      </c>
      <c r="D23" s="35">
        <v>1480824</v>
      </c>
      <c r="E23" s="35">
        <v>679479</v>
      </c>
      <c r="F23" s="35">
        <v>737961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25808</v>
      </c>
      <c r="D24" s="137">
        <v>27141</v>
      </c>
      <c r="E24" s="137">
        <v>34036</v>
      </c>
      <c r="F24" s="137">
        <v>771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134078</v>
      </c>
      <c r="D25" s="35">
        <v>134192</v>
      </c>
      <c r="E25" s="35">
        <v>132556</v>
      </c>
      <c r="F25" s="35">
        <v>125422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7502</v>
      </c>
      <c r="D26" s="137">
        <v>7974</v>
      </c>
      <c r="E26" s="137">
        <v>7181</v>
      </c>
      <c r="F26" s="137">
        <v>373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1480163</v>
      </c>
      <c r="D27" s="27">
        <f t="shared" si="9"/>
        <v>1615016</v>
      </c>
      <c r="E27" s="27">
        <f t="shared" si="9"/>
        <v>812035</v>
      </c>
      <c r="F27" s="27">
        <f t="shared" si="9"/>
        <v>863383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3088577</v>
      </c>
      <c r="D28" s="35">
        <v>3430524</v>
      </c>
      <c r="E28" s="35">
        <v>3353625</v>
      </c>
      <c r="F28" s="35">
        <v>2997056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3074864</v>
      </c>
      <c r="D29" s="137">
        <v>3419125</v>
      </c>
      <c r="E29" s="137">
        <v>3337921</v>
      </c>
      <c r="F29" s="137">
        <v>2985924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1723453</v>
      </c>
      <c r="D30" s="35">
        <v>1555854</v>
      </c>
      <c r="E30" s="35">
        <v>1434723</v>
      </c>
      <c r="F30" s="35">
        <v>1413798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0</v>
      </c>
      <c r="D31" s="35">
        <v>1545128</v>
      </c>
      <c r="E31" s="35">
        <v>946152</v>
      </c>
      <c r="F31" s="35">
        <v>767143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9.7246051966604255E-2</v>
      </c>
      <c r="D32" s="14">
        <f t="shared" si="10"/>
        <v>7.7854991535195456E-2</v>
      </c>
      <c r="E32" s="14">
        <f t="shared" si="10"/>
        <v>1.4584696836950408E-2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-89672.42</v>
      </c>
      <c r="D33" s="236">
        <f>IF(E7="","",(D7-E7)*Asset_Model!$D$65)</f>
        <v>58328.952799999999</v>
      </c>
      <c r="E33" s="236">
        <f>IF(F7="","",(E7-F7)*Asset_Model!$D$65)</f>
        <v>-7815.1943999999994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77926.58</v>
      </c>
      <c r="D34" s="140">
        <f>IF(E7="","",D30-E30+D33+IF($C$49="Yes",D51,0))</f>
        <v>179459.9528</v>
      </c>
      <c r="E34" s="140">
        <f t="shared" ref="E34:F34" si="11">IF(F7="","",E30-F30+E33+IF($C$49="Yes",E51,0))</f>
        <v>13109.8056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0.27193239951703974</v>
      </c>
      <c r="D35" s="227">
        <f t="shared" si="19"/>
        <v>0.34231881247043383</v>
      </c>
      <c r="E35" s="227">
        <f t="shared" si="19"/>
        <v>2.1809945549191224E-2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0</v>
      </c>
      <c r="D37" s="162">
        <v>606819</v>
      </c>
      <c r="E37" s="162">
        <v>564483</v>
      </c>
      <c r="F37" s="162">
        <v>737131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7739</v>
      </c>
      <c r="F38" s="161">
        <v>142238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</v>
      </c>
      <c r="D39" s="167">
        <f t="shared" si="20"/>
        <v>0.43205033836598972</v>
      </c>
      <c r="E39" s="167">
        <f t="shared" si="20"/>
        <v>0.40190744052485006</v>
      </c>
      <c r="F39" s="167">
        <f t="shared" si="20"/>
        <v>0.52483145381087337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5.5101069159245088E-3</v>
      </c>
      <c r="F40" s="169">
        <f t="shared" si="21"/>
        <v>0.10127233331273683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4.3410930017286277E-2</v>
      </c>
      <c r="D42" s="48">
        <f t="shared" ref="D42:M42" si="22">IF(D29="","",D25/D29)</f>
        <v>3.9247468285014443E-2</v>
      </c>
      <c r="E42" s="48">
        <f t="shared" si="22"/>
        <v>3.9712144175970611E-2</v>
      </c>
      <c r="F42" s="48">
        <f t="shared" si="22"/>
        <v>4.2004418062884387E-2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0.48137511122443138</v>
      </c>
      <c r="D43" s="14">
        <f t="shared" si="23"/>
        <v>0.47234774978978539</v>
      </c>
      <c r="E43" s="14">
        <f t="shared" si="23"/>
        <v>0.2432756796820536</v>
      </c>
      <c r="F43" s="14">
        <f t="shared" si="23"/>
        <v>0.2891510299659335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0.19360435303409151</v>
      </c>
      <c r="D44" s="50">
        <f t="shared" si="24"/>
        <v>0.32460854876979545</v>
      </c>
      <c r="E44" s="50">
        <f t="shared" si="24"/>
        <v>0.74023040878779856</v>
      </c>
      <c r="F44" s="50">
        <f t="shared" si="24"/>
        <v>0.77679778267582289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0.16932922956666177</v>
      </c>
      <c r="D45" s="14">
        <f t="shared" si="25"/>
        <v>2.6794570508614245E-2</v>
      </c>
      <c r="E45" s="14">
        <f t="shared" si="25"/>
        <v>2.1796959871434204E-2</v>
      </c>
      <c r="F45" s="14">
        <f t="shared" si="25"/>
        <v>1.7050012375610206E-2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1.4757004333706838</v>
      </c>
      <c r="D46" s="51">
        <f t="shared" si="26"/>
        <v>1.6889262653006001</v>
      </c>
      <c r="E46" s="51">
        <f t="shared" si="26"/>
        <v>1.9343638707072399</v>
      </c>
      <c r="F46" s="51">
        <f t="shared" si="26"/>
        <v>1.7979505417744617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12" sqref="D12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3088577</v>
      </c>
      <c r="E3" s="153" t="str">
        <f>IF((C46-I46)=D3,"", "Error!")</f>
        <v/>
      </c>
      <c r="F3" s="6"/>
      <c r="G3" s="6"/>
      <c r="H3" s="258" t="s">
        <v>244</v>
      </c>
      <c r="I3" s="259">
        <v>3074864</v>
      </c>
      <c r="K3" s="73"/>
    </row>
    <row r="4" spans="1:11" ht="15" customHeight="1">
      <c r="B4" s="5" t="s">
        <v>217</v>
      </c>
      <c r="C4" s="6"/>
      <c r="D4" s="260">
        <f>D3-I3</f>
        <v>13713</v>
      </c>
      <c r="E4" s="147"/>
      <c r="F4" s="6"/>
      <c r="G4" s="6"/>
      <c r="H4" s="60" t="s">
        <v>80</v>
      </c>
      <c r="I4" s="89">
        <f>(I3*Dashboard!I12*Data!C4)/Dashboard!I5</f>
        <v>2.1892788980394493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630998.29999999981</v>
      </c>
      <c r="E6" s="14">
        <f>1-D6/D3</f>
        <v>0.7956993463332791</v>
      </c>
      <c r="F6" s="6"/>
      <c r="G6" s="6"/>
      <c r="H6" s="3" t="s">
        <v>287</v>
      </c>
      <c r="I6" s="69">
        <f>C26/I26</f>
        <v>1.4757004333706838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0.44926580911831071</v>
      </c>
      <c r="E7" s="49" t="str">
        <f>Dashboard!J4</f>
        <v>HKD</v>
      </c>
      <c r="H7" s="3" t="s">
        <v>288</v>
      </c>
      <c r="I7" s="69">
        <f>C25/I26</f>
        <v>1.0353369405718484</v>
      </c>
      <c r="J7" s="6"/>
      <c r="K7" s="114"/>
    </row>
    <row r="8" spans="1:11" ht="15" customHeight="1">
      <c r="D8" s="6"/>
      <c r="H8" s="3" t="s">
        <v>289</v>
      </c>
      <c r="I8" s="69">
        <f>C24/I26</f>
        <v>0.61502260419495514</v>
      </c>
      <c r="K8" s="73"/>
    </row>
    <row r="9" spans="1:11" ht="15" customHeight="1">
      <c r="A9" s="4"/>
      <c r="B9" s="252" t="s">
        <v>239</v>
      </c>
      <c r="C9" s="239"/>
      <c r="D9" s="255">
        <v>45016</v>
      </c>
      <c r="E9" s="270" t="s">
        <v>321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1187110</v>
      </c>
      <c r="D11" s="65">
        <v>1</v>
      </c>
      <c r="E11" s="27">
        <f t="shared" ref="E11:E21" si="0">C11*D11</f>
        <v>1187110</v>
      </c>
      <c r="F11" s="6"/>
      <c r="G11" s="6"/>
      <c r="H11" s="5" t="s">
        <v>90</v>
      </c>
      <c r="I11" s="64">
        <v>1320277</v>
      </c>
      <c r="J11" s="6"/>
      <c r="K11" s="73"/>
    </row>
    <row r="12" spans="1:11" ht="14">
      <c r="B12" s="3" t="s">
        <v>91</v>
      </c>
      <c r="C12" s="64">
        <v>160383</v>
      </c>
      <c r="D12" s="65">
        <v>1</v>
      </c>
      <c r="E12" s="27">
        <f t="shared" si="0"/>
        <v>160383</v>
      </c>
      <c r="F12" s="6"/>
      <c r="G12" s="6"/>
      <c r="H12" s="5" t="s">
        <v>92</v>
      </c>
      <c r="I12" s="64">
        <v>25808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>C13*D13</f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844880</v>
      </c>
      <c r="J15" s="6"/>
    </row>
    <row r="16" spans="1:11" ht="14">
      <c r="B16" s="3" t="s">
        <v>96</v>
      </c>
      <c r="C16" s="64">
        <v>276</v>
      </c>
      <c r="D16" s="65">
        <v>0.6</v>
      </c>
      <c r="E16" s="27">
        <f t="shared" si="0"/>
        <v>165.6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827693+91987+938</f>
        <v>920618</v>
      </c>
      <c r="D17" s="65">
        <v>0.6</v>
      </c>
      <c r="E17" s="27">
        <f t="shared" si="0"/>
        <v>552370.79999999993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964821</v>
      </c>
      <c r="D18" s="65">
        <v>0.2</v>
      </c>
      <c r="E18" s="27">
        <f t="shared" si="0"/>
        <v>192964.2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1347493</v>
      </c>
      <c r="D24" s="68">
        <f>IF(E24=0,0,E24/C24)</f>
        <v>1</v>
      </c>
      <c r="E24" s="27">
        <f>SUM(E11:E14)</f>
        <v>1347493</v>
      </c>
      <c r="F24" s="6"/>
      <c r="G24" s="6"/>
      <c r="H24" s="66" t="s">
        <v>290</v>
      </c>
      <c r="I24" s="69">
        <f>E24/($I$26-I15)</f>
        <v>1.0010459963523848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2268387</v>
      </c>
      <c r="D25" s="68">
        <f>IF(E25=0,0,E25/C25)</f>
        <v>0.83761254142260555</v>
      </c>
      <c r="E25" s="27">
        <f>E24+SUM(E15:E17)</f>
        <v>1900029.4</v>
      </c>
      <c r="F25" s="6"/>
      <c r="G25" s="6"/>
      <c r="H25" s="66" t="s">
        <v>294</v>
      </c>
      <c r="I25" s="69">
        <f>E25/$I$26</f>
        <v>0.86721120602109114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3233208</v>
      </c>
      <c r="D26" s="14">
        <f t="shared" ref="D26" si="2">E26/C26</f>
        <v>0.64734270111913617</v>
      </c>
      <c r="E26" s="27">
        <f>SUM(E11:E22)</f>
        <v>2092993.5999999999</v>
      </c>
      <c r="H26" s="5" t="s">
        <v>56</v>
      </c>
      <c r="I26" s="64">
        <v>2190965</v>
      </c>
      <c r="J26" s="105">
        <f>IF(J24="",1,0)+IF(J25="",1,0)+IF(J44="",1,0)+IF(J45="",1,0)</f>
        <v>3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126576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7502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427</v>
      </c>
      <c r="D31" s="65">
        <v>0.5</v>
      </c>
      <c r="E31" s="27">
        <f t="shared" si="3"/>
        <v>213.5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115697</v>
      </c>
      <c r="J32" s="6"/>
    </row>
    <row r="33" spans="2:10" ht="14">
      <c r="B33" s="5" t="s">
        <v>117</v>
      </c>
      <c r="C33" s="64">
        <v>315869</v>
      </c>
      <c r="D33" s="65">
        <v>0.6</v>
      </c>
      <c r="E33" s="214">
        <f t="shared" si="3"/>
        <v>189521.4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1544648+178805+236728</f>
        <v>1960181</v>
      </c>
      <c r="D36" s="65">
        <v>0.4</v>
      </c>
      <c r="E36" s="27">
        <f t="shared" si="3"/>
        <v>784072.4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19632</v>
      </c>
      <c r="D39" s="65">
        <v>0.95</v>
      </c>
      <c r="E39" s="27">
        <f t="shared" si="3"/>
        <v>18650.399999999998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2296109</v>
      </c>
      <c r="D42" s="14">
        <f>E42/C42</f>
        <v>0.43223457597178533</v>
      </c>
      <c r="E42" s="27">
        <f>SUM(E28:E40)</f>
        <v>992457.70000000007</v>
      </c>
      <c r="F42" s="6"/>
      <c r="G42" s="6"/>
      <c r="H42" s="5" t="s">
        <v>123</v>
      </c>
      <c r="I42" s="64">
        <v>249775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1347493</v>
      </c>
      <c r="D44" s="68">
        <f>IF(E44=0,0,E44/C44)</f>
        <v>1</v>
      </c>
      <c r="E44" s="27">
        <f>E24+SUM(E28:E29)</f>
        <v>1347493</v>
      </c>
      <c r="F44" s="6"/>
      <c r="G44" s="6"/>
      <c r="H44" s="66" t="s">
        <v>291</v>
      </c>
      <c r="I44" s="69">
        <f>E44/(I46-I15-I32)</f>
        <v>0.91036797974277162</v>
      </c>
      <c r="J44" s="13" t="str">
        <f>IF(I44&lt;1,"Liquidity Problem!","")</f>
        <v>Liquidity Problem!</v>
      </c>
    </row>
    <row r="45" spans="2:10" ht="15" customHeight="1">
      <c r="B45" s="66" t="s">
        <v>125</v>
      </c>
      <c r="C45" s="70">
        <f>C44+(C25-C24)+SUM(C30:C33)</f>
        <v>2584683</v>
      </c>
      <c r="D45" s="68">
        <f>IF(E45=0,0,E45/C45)</f>
        <v>0.80851860750428572</v>
      </c>
      <c r="E45" s="27">
        <f>E44+(E25-E24)+SUM(E30:E33)</f>
        <v>2089764.2999999998</v>
      </c>
      <c r="F45" s="6"/>
      <c r="G45" s="6"/>
      <c r="H45" s="66" t="s">
        <v>295</v>
      </c>
      <c r="I45" s="69">
        <f>E45/$I$46</f>
        <v>0.85620111113842512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5529317</v>
      </c>
      <c r="D46" s="14">
        <f>E46/C46</f>
        <v>0.55801671345665294</v>
      </c>
      <c r="E46" s="27">
        <f>E26+E42</f>
        <v>3085451.3</v>
      </c>
      <c r="F46" s="6"/>
      <c r="G46" s="6"/>
      <c r="H46" s="5" t="s">
        <v>292</v>
      </c>
      <c r="I46" s="152">
        <f>I26+I42</f>
        <v>2440740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13713</v>
      </c>
      <c r="D50" s="208">
        <f>IF(E50=0, 0,E50/C50)</f>
        <v>1</v>
      </c>
      <c r="E50" s="212">
        <f>MAX(C50,C50*Dashboard!I10)</f>
        <v>13713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9">
        <f>D53+D54+D55</f>
        <v>1480163</v>
      </c>
      <c r="E52" s="440"/>
      <c r="F52" s="53"/>
      <c r="G52" s="53"/>
    </row>
    <row r="53" spans="2:9" ht="14.5" thickTop="1">
      <c r="B53" s="58" t="s">
        <v>222</v>
      </c>
      <c r="C53" s="6"/>
      <c r="D53" s="442">
        <f>SUM(I11:I13)+SUM(I28:I30)</f>
        <v>1480163</v>
      </c>
      <c r="E53" s="372"/>
      <c r="F53" s="5"/>
      <c r="G53" s="5"/>
      <c r="H53" s="3" t="s">
        <v>293</v>
      </c>
      <c r="I53" s="14">
        <f>D53/I3</f>
        <v>0.48137511122443138</v>
      </c>
    </row>
    <row r="54" spans="2:9" ht="14">
      <c r="B54" s="58" t="s">
        <v>129</v>
      </c>
      <c r="C54" s="6"/>
      <c r="D54" s="449">
        <v>0</v>
      </c>
      <c r="E54" s="365"/>
      <c r="F54" s="6" t="s">
        <v>130</v>
      </c>
      <c r="G54" s="6"/>
    </row>
    <row r="55" spans="2:9" ht="12.75" customHeight="1">
      <c r="B55" s="58" t="s">
        <v>128</v>
      </c>
      <c r="C55" s="6"/>
      <c r="D55" s="449">
        <v>0</v>
      </c>
      <c r="E55" s="365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1"/>
      <c r="E57" s="441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315869</v>
      </c>
      <c r="D58" s="126">
        <f>IF(E58=0,0,E58/C58)</f>
        <v>0.6</v>
      </c>
      <c r="E58" s="215">
        <f>E14+E15+(E19*G19)+(E20*G20)+E29+E30+(E31*G31)+(E33*G33)+(E34*G34)+(E35*G35)</f>
        <v>189521.4</v>
      </c>
      <c r="H58" s="6"/>
    </row>
    <row r="59" spans="2:9" ht="14">
      <c r="B59" s="53" t="s">
        <v>89</v>
      </c>
      <c r="C59" s="207">
        <f>C11+C12+C28</f>
        <v>1347493</v>
      </c>
      <c r="D59" s="208">
        <f>IF(E59=0,0,E59/C59)</f>
        <v>1</v>
      </c>
      <c r="E59" s="209">
        <f>E11+E12+E28</f>
        <v>1347493</v>
      </c>
      <c r="F59" s="6"/>
      <c r="G59" s="6"/>
    </row>
    <row r="60" spans="2:9" ht="14">
      <c r="B60" s="53" t="s">
        <v>133</v>
      </c>
      <c r="C60" s="6"/>
      <c r="D60" s="447">
        <f>((Dashboard!I6*Data!C4)+D52+E50-C58-C59)</f>
        <v>2583353.5059200004</v>
      </c>
      <c r="E60" s="448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5">
        <f>((C26-C11-C12-C14-C15-C16*G16-C19*G19-C20*G20)-I26)/Data!C7</f>
        <v>-6.0822099592825682E-2</v>
      </c>
      <c r="E63" s="446"/>
    </row>
    <row r="64" spans="2:9" ht="15" customHeight="1">
      <c r="B64" s="3" t="s">
        <v>250</v>
      </c>
      <c r="D64" s="443">
        <v>8.5599999999999996E-2</v>
      </c>
      <c r="E64" s="444"/>
      <c r="F64" s="250" t="s">
        <v>236</v>
      </c>
    </row>
    <row r="65" spans="2:5" ht="15" customHeight="1">
      <c r="B65" s="271" t="s">
        <v>252</v>
      </c>
      <c r="D65" s="443">
        <v>8.5599999999999996E-2</v>
      </c>
      <c r="E65" s="44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G17" sqref="G1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45016</v>
      </c>
      <c r="D3" s="28" t="s">
        <v>235</v>
      </c>
      <c r="E3" s="261">
        <f>EOMONTH(EDATE(C3,12),0)</f>
        <v>45382</v>
      </c>
      <c r="F3" s="28" t="s">
        <v>235</v>
      </c>
      <c r="G3" s="261">
        <f>IF(G14="","",EOMONTH(EDATE(E3,12),0))</f>
        <v>45747</v>
      </c>
      <c r="H3" s="28"/>
      <c r="I3" s="261" t="str">
        <f>IF(I21="","",EOMONTH(EDATE(G3,12),0))</f>
        <v/>
      </c>
      <c r="J3" s="276"/>
      <c r="L3" s="71" t="s">
        <v>134</v>
      </c>
    </row>
    <row r="4" spans="1:13" ht="15.75" customHeight="1">
      <c r="B4" s="272" t="s">
        <v>333</v>
      </c>
      <c r="C4" s="273">
        <v>2326189</v>
      </c>
      <c r="D4" s="244">
        <f>C4/$C$13</f>
        <v>0.46350106152247528</v>
      </c>
      <c r="E4" s="273"/>
      <c r="F4" s="244"/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334</v>
      </c>
      <c r="C5" s="273">
        <v>1214692</v>
      </c>
      <c r="D5" s="244">
        <f t="shared" ref="D5:D11" si="0">C5/$C$13</f>
        <v>0.24203150793974976</v>
      </c>
      <c r="E5" s="273"/>
      <c r="F5" s="244"/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335</v>
      </c>
      <c r="C6" s="273">
        <v>332370</v>
      </c>
      <c r="D6" s="244">
        <f t="shared" si="0"/>
        <v>6.6225851733554372E-2</v>
      </c>
      <c r="E6" s="273"/>
      <c r="F6" s="244"/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336</v>
      </c>
      <c r="C7" s="273">
        <v>203570</v>
      </c>
      <c r="D7" s="244">
        <f t="shared" si="0"/>
        <v>4.0562014133043486E-2</v>
      </c>
      <c r="E7" s="273"/>
      <c r="F7" s="244"/>
      <c r="G7" s="216"/>
      <c r="H7" s="244"/>
      <c r="I7" s="216"/>
      <c r="J7" s="266"/>
      <c r="K7" s="6"/>
      <c r="L7" s="73"/>
      <c r="M7" s="57"/>
    </row>
    <row r="8" spans="1:13" ht="15.75" customHeight="1">
      <c r="B8" s="272" t="s">
        <v>337</v>
      </c>
      <c r="C8" s="273">
        <v>195452</v>
      </c>
      <c r="D8" s="244">
        <f t="shared" si="0"/>
        <v>3.8944475051980232E-2</v>
      </c>
      <c r="E8" s="273"/>
      <c r="F8" s="244"/>
      <c r="G8" s="216"/>
      <c r="H8" s="244"/>
      <c r="I8" s="216"/>
      <c r="J8" s="266"/>
      <c r="K8" s="6"/>
      <c r="L8" s="73"/>
      <c r="M8" s="57"/>
    </row>
    <row r="9" spans="1:13" ht="15.75" customHeight="1">
      <c r="B9" s="272" t="s">
        <v>338</v>
      </c>
      <c r="C9" s="273">
        <v>194871</v>
      </c>
      <c r="D9" s="244">
        <f t="shared" si="0"/>
        <v>3.8828708828021405E-2</v>
      </c>
      <c r="E9" s="273"/>
      <c r="F9" s="244"/>
      <c r="G9" s="216"/>
      <c r="H9" s="244"/>
      <c r="I9" s="216"/>
      <c r="J9" s="266"/>
      <c r="K9" s="6"/>
      <c r="L9" s="73"/>
      <c r="M9" s="57"/>
    </row>
    <row r="10" spans="1:13" ht="15.75" customHeight="1">
      <c r="B10" s="272" t="s">
        <v>339</v>
      </c>
      <c r="C10" s="273">
        <v>156759</v>
      </c>
      <c r="D10" s="244">
        <f t="shared" si="0"/>
        <v>3.1234763341758433E-2</v>
      </c>
      <c r="E10" s="273"/>
      <c r="F10" s="244"/>
      <c r="G10" s="216"/>
      <c r="H10" s="244"/>
      <c r="I10" s="216"/>
      <c r="J10" s="266"/>
      <c r="K10" s="6"/>
      <c r="L10" s="73"/>
      <c r="M10" s="57"/>
    </row>
    <row r="11" spans="1:13" ht="15.75" customHeight="1">
      <c r="B11" s="272" t="s">
        <v>340</v>
      </c>
      <c r="C11" s="273">
        <v>92656</v>
      </c>
      <c r="D11" s="244">
        <f t="shared" si="0"/>
        <v>1.8462022800566278E-2</v>
      </c>
      <c r="E11" s="273"/>
      <c r="F11" s="244"/>
      <c r="G11" s="216"/>
      <c r="H11" s="244"/>
      <c r="I11" s="216"/>
      <c r="J11" s="266"/>
      <c r="K11" s="6"/>
      <c r="L11" s="73"/>
      <c r="M11" s="57"/>
    </row>
    <row r="12" spans="1:13" ht="15.75" customHeight="1">
      <c r="B12" s="272" t="s">
        <v>341</v>
      </c>
      <c r="C12" s="273">
        <f>C13-SUM(C4:C11)</f>
        <v>302176</v>
      </c>
      <c r="D12" s="244">
        <f t="shared" ref="D12" si="1">C12/$C$13</f>
        <v>6.0209594648850756E-2</v>
      </c>
      <c r="E12" s="273"/>
      <c r="F12" s="244"/>
      <c r="G12" s="216"/>
      <c r="H12" s="244"/>
      <c r="I12" s="216"/>
      <c r="J12" s="266"/>
      <c r="K12" s="6"/>
      <c r="L12" s="73"/>
      <c r="M12" s="57"/>
    </row>
    <row r="13" spans="1:13" ht="15.75" customHeight="1">
      <c r="B13" s="5" t="s">
        <v>136</v>
      </c>
      <c r="C13" s="177">
        <f>Data!C7</f>
        <v>5018735</v>
      </c>
      <c r="D13" s="243"/>
      <c r="E13" s="313">
        <f>C13*1.04</f>
        <v>5219484.4000000004</v>
      </c>
      <c r="F13" s="243"/>
      <c r="G13" s="313">
        <f>E13*(1+G14)</f>
        <v>5637043.1520000007</v>
      </c>
      <c r="H13" s="243"/>
      <c r="I13" s="222"/>
      <c r="J13" s="267"/>
      <c r="K13" s="6"/>
      <c r="L13" s="73"/>
      <c r="M13" s="57"/>
    </row>
    <row r="14" spans="1:13" ht="15.75" customHeight="1">
      <c r="B14" s="17" t="s">
        <v>135</v>
      </c>
      <c r="C14" s="184"/>
      <c r="D14" s="245"/>
      <c r="E14" s="18">
        <f>E13/C13-1</f>
        <v>4.0000000000000036E-2</v>
      </c>
      <c r="F14" s="245"/>
      <c r="G14" s="72">
        <v>0.08</v>
      </c>
      <c r="H14" s="245"/>
      <c r="I14" s="72"/>
      <c r="J14" s="303"/>
      <c r="K14" s="6"/>
      <c r="L14" s="73"/>
      <c r="M14" s="57"/>
    </row>
    <row r="15" spans="1:13" ht="15.75" customHeight="1">
      <c r="B15" s="8" t="s">
        <v>137</v>
      </c>
      <c r="C15" s="178">
        <f>Data!C9</f>
        <v>4528748</v>
      </c>
      <c r="D15" s="246"/>
      <c r="E15" s="221">
        <f>E13*(1-E16)</f>
        <v>4593146.2720000008</v>
      </c>
      <c r="F15" s="246"/>
      <c r="G15" s="264">
        <f>IF(G13="","",G13*(1-G16))</f>
        <v>4855748.9711328</v>
      </c>
      <c r="H15" s="246"/>
      <c r="I15" s="264" t="str">
        <f>IF(I13="","",I13*(1-I16))</f>
        <v/>
      </c>
      <c r="J15" s="304"/>
      <c r="K15" s="6"/>
      <c r="L15" s="114"/>
      <c r="M15" s="1"/>
    </row>
    <row r="16" spans="1:13" ht="15.75" customHeight="1">
      <c r="B16" s="17" t="s">
        <v>46</v>
      </c>
      <c r="C16" s="183">
        <f>(C13-C15)/C13</f>
        <v>9.7631574490384523E-2</v>
      </c>
      <c r="D16" s="183"/>
      <c r="E16" s="72">
        <v>0.12</v>
      </c>
      <c r="F16" s="183"/>
      <c r="G16" s="72">
        <v>0.1386</v>
      </c>
      <c r="H16" s="183"/>
      <c r="I16" s="72"/>
      <c r="J16" s="305"/>
      <c r="K16" s="6"/>
      <c r="L16" s="73"/>
    </row>
    <row r="17" spans="2:13" ht="15.75" customHeight="1">
      <c r="B17" s="5" t="s">
        <v>138</v>
      </c>
      <c r="C17" s="27">
        <f>C13-C15</f>
        <v>489987</v>
      </c>
      <c r="D17" s="27"/>
      <c r="E17" s="27">
        <f>E13-E15</f>
        <v>626338.12799999956</v>
      </c>
      <c r="F17" s="27"/>
      <c r="G17" s="27">
        <f>IF(G14="","",G13-G15)</f>
        <v>781294.18086720072</v>
      </c>
      <c r="H17" s="27"/>
      <c r="I17" s="27" t="str">
        <f>IF(I14="","",I13-I15)</f>
        <v/>
      </c>
      <c r="J17" s="230"/>
      <c r="K17" s="6"/>
      <c r="L17" s="73"/>
    </row>
    <row r="18" spans="2:13" ht="15.75" customHeight="1">
      <c r="B18" s="17" t="s">
        <v>48</v>
      </c>
      <c r="C18" s="186">
        <f>C19/C13</f>
        <v>4.0532325376813082E-2</v>
      </c>
      <c r="D18" s="186"/>
      <c r="E18" s="220">
        <v>0.05</v>
      </c>
      <c r="F18" s="186"/>
      <c r="G18" s="65">
        <f>E18</f>
        <v>0.05</v>
      </c>
      <c r="H18" s="186"/>
      <c r="I18" s="65"/>
      <c r="J18" s="306"/>
      <c r="K18" s="6"/>
      <c r="L18" s="73"/>
    </row>
    <row r="19" spans="2:13" ht="15.75" customHeight="1">
      <c r="B19" s="8" t="s">
        <v>139</v>
      </c>
      <c r="C19" s="180">
        <f>41285+162136</f>
        <v>203421</v>
      </c>
      <c r="D19" s="247"/>
      <c r="E19" s="75">
        <f>E13*E18</f>
        <v>260974.22000000003</v>
      </c>
      <c r="F19" s="247"/>
      <c r="G19" s="75">
        <f>G13*G18</f>
        <v>281852.15760000004</v>
      </c>
      <c r="H19" s="247"/>
      <c r="I19" s="75"/>
      <c r="J19" s="307"/>
      <c r="K19" s="6"/>
      <c r="L19" s="73"/>
    </row>
    <row r="20" spans="2:13" ht="15.75" customHeight="1">
      <c r="B20" s="17" t="s">
        <v>49</v>
      </c>
      <c r="C20" s="18">
        <f>C22/C13</f>
        <v>5.7099249113571449E-2</v>
      </c>
      <c r="D20" s="18"/>
      <c r="E20" s="18">
        <f>E22/E13</f>
        <v>6.999999999999991E-2</v>
      </c>
      <c r="F20" s="18"/>
      <c r="G20" s="18">
        <f>IF(G14="","",G22/G13)</f>
        <v>8.8600000000000109E-2</v>
      </c>
      <c r="H20" s="18"/>
      <c r="I20" s="18" t="str">
        <f>IF(I14="","",I22/I13)</f>
        <v/>
      </c>
      <c r="J20" s="223"/>
      <c r="K20" s="6"/>
      <c r="L20" s="73"/>
      <c r="M20" s="57"/>
    </row>
    <row r="21" spans="2:13" ht="15.75" customHeight="1">
      <c r="B21" s="17" t="s">
        <v>140</v>
      </c>
      <c r="C21" s="185"/>
      <c r="D21" s="248"/>
      <c r="E21" s="14">
        <f>IF(ABS(C22+E22)=ABS(C22)+ABS(E22),IF(E22&lt;0,-1,1)*(E22-C22)/C22,"Turn")</f>
        <v>0.2749729835360773</v>
      </c>
      <c r="F21" s="248"/>
      <c r="G21" s="14">
        <f>IF(G14="","",IF(ABS(E22+G22)=ABS(E22)+ABS(G22),IF(G22&lt;0,-1,1)*(G22-E22)/E22,"Turn"))</f>
        <v>0.36697142857143222</v>
      </c>
      <c r="H21" s="248"/>
      <c r="I21" s="14" t="str">
        <f>IF(I14="","",IF(ABS(G22+I22)=ABS(G22)+ABS(I22),IF(I22&lt;0,-1,1)*(I22-G22)/G22,"Turn"))</f>
        <v/>
      </c>
      <c r="J21" s="308"/>
      <c r="K21" s="6"/>
      <c r="L21" s="76"/>
      <c r="M21" s="77"/>
    </row>
    <row r="22" spans="2:13" ht="15.75" customHeight="1">
      <c r="B22" s="131" t="s">
        <v>232</v>
      </c>
      <c r="C22" s="295">
        <f>C17-C19</f>
        <v>286566</v>
      </c>
      <c r="D22" s="296"/>
      <c r="E22" s="295">
        <f>E17-E19</f>
        <v>365363.90799999953</v>
      </c>
      <c r="F22" s="296"/>
      <c r="G22" s="295">
        <f>IF(G14="","",G17-G19)</f>
        <v>499442.02326720068</v>
      </c>
      <c r="H22" s="296"/>
      <c r="I22" s="295" t="str">
        <f>IF(I14="","",I17-I19)</f>
        <v/>
      </c>
      <c r="J22" s="309"/>
      <c r="K22" s="6"/>
      <c r="L22" s="78"/>
      <c r="M22" s="56"/>
    </row>
    <row r="23" spans="2:13" ht="15.75" customHeight="1">
      <c r="B23" s="291" t="s">
        <v>141</v>
      </c>
      <c r="C23" s="292">
        <v>0.25</v>
      </c>
      <c r="D23" s="293"/>
      <c r="E23" s="294">
        <f>IF(E22="","",C23)</f>
        <v>0.25</v>
      </c>
      <c r="F23" s="294"/>
      <c r="G23" s="294">
        <f>IF(G22="","",E23)</f>
        <v>0.25</v>
      </c>
      <c r="H23" s="294"/>
      <c r="I23" s="294" t="str">
        <f>IF(I22="","",G23)</f>
        <v/>
      </c>
      <c r="J23" s="310"/>
      <c r="L23" s="73"/>
    </row>
    <row r="24" spans="2:13" ht="15.75" customHeight="1">
      <c r="B24" s="300" t="s">
        <v>284</v>
      </c>
      <c r="C24" s="248">
        <f>C25/C15</f>
        <v>4.7457818363927512E-2</v>
      </c>
      <c r="D24" s="302"/>
      <c r="E24" s="301">
        <f>E25/E15</f>
        <v>5.9659090909090821E-2</v>
      </c>
      <c r="F24" s="301"/>
      <c r="G24" s="301">
        <f>IF(G15="","",G25/G15)</f>
        <v>7.7141862084978044E-2</v>
      </c>
      <c r="H24" s="301"/>
      <c r="I24" s="301" t="str">
        <f>IF(I15="","",I25/I15)</f>
        <v/>
      </c>
      <c r="J24" s="311"/>
    </row>
    <row r="25" spans="2:13" ht="15.75" customHeight="1">
      <c r="B25" s="297" t="s">
        <v>78</v>
      </c>
      <c r="C25" s="298">
        <f>IF(C22&lt;=0,C22,C22*(1-C23))</f>
        <v>214924.5</v>
      </c>
      <c r="D25" s="298"/>
      <c r="E25" s="299">
        <f>IF(E22="","",IF(E22&lt;=0,E22,E22*(1-E23)))</f>
        <v>274022.93099999963</v>
      </c>
      <c r="F25" s="298"/>
      <c r="G25" s="299">
        <f>IF(G22="","",IF(G22&lt;=0,G22,G22*(1-G23)))</f>
        <v>374581.51745040051</v>
      </c>
      <c r="H25" s="298"/>
      <c r="I25" s="299" t="str">
        <f>IF(I22="","",IF(I22&lt;=0,I22,I22*(1-I23)))</f>
        <v/>
      </c>
      <c r="J25" s="312"/>
    </row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</sheetData>
  <phoneticPr fontId="31" type="noConversion"/>
  <conditionalFormatting sqref="E23:E25">
    <cfRule type="containsBlanks" dxfId="6" priority="2">
      <formula>LEN(TRIM(E23))=0</formula>
    </cfRule>
  </conditionalFormatting>
  <conditionalFormatting sqref="G25 I25">
    <cfRule type="containsBlanks" dxfId="5" priority="4">
      <formula>LEN(TRIM(G25))=0</formula>
    </cfRule>
  </conditionalFormatting>
  <conditionalFormatting sqref="G14:H18 H19 G20:H22">
    <cfRule type="containsBlanks" dxfId="4" priority="10">
      <formula>LEN(TRIM(G14))=0</formula>
    </cfRule>
    <cfRule type="containsBlanks" priority="11">
      <formula>LEN(TRIM(G14))=0</formula>
    </cfRule>
  </conditionalFormatting>
  <conditionalFormatting sqref="G14:J25">
    <cfRule type="containsBlanks" dxfId="3" priority="1">
      <formula>LEN(TRIM(G14))=0</formula>
    </cfRule>
  </conditionalFormatting>
  <conditionalFormatting sqref="I14:J22">
    <cfRule type="containsBlanks" dxfId="2" priority="6">
      <formula>LEN(TRIM(I14))=0</formula>
    </cfRule>
    <cfRule type="containsBlanks" priority="7">
      <formula>LEN(TRIM(I14))=0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24" sqref="D2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45016</v>
      </c>
      <c r="D3" s="261">
        <f>Operation!E3</f>
        <v>45382</v>
      </c>
      <c r="E3" s="261">
        <f>Operation!G3</f>
        <v>45747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Operation!C25</f>
        <v>214924.5</v>
      </c>
      <c r="D4" s="45">
        <f>Operation!E25</f>
        <v>274022.93099999963</v>
      </c>
      <c r="E4" s="45">
        <f>Operation!G25</f>
        <v>374581.51745040051</v>
      </c>
      <c r="F4" s="198" t="str">
        <f>Operation!I25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0.27497298353607724</v>
      </c>
      <c r="E5" s="242">
        <f>IF(E4="","",E4/D4-1)</f>
        <v>0.36697142857143228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0.34231881247043383</v>
      </c>
      <c r="D6" s="220">
        <f>C6</f>
        <v>0.34231881247043383</v>
      </c>
      <c r="E6" s="65">
        <f>D6</f>
        <v>0.34231881247043383</v>
      </c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73572.699610801763</v>
      </c>
      <c r="D7" s="286">
        <f>D6*D4</f>
        <v>93803.204329587505</v>
      </c>
      <c r="E7" s="287">
        <f>E4*E6</f>
        <v>128226.30022699419</v>
      </c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141351.80038919824</v>
      </c>
      <c r="D8" s="188">
        <f>D4-D7</f>
        <v>180219.72667041211</v>
      </c>
      <c r="E8" s="188">
        <f>IF(E4="","",E4-E7)</f>
        <v>246355.2172234063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0.1006413661846365</v>
      </c>
      <c r="D9" s="283">
        <f>D8/(Common_Shares/Data!$C$4)</f>
        <v>0.12831502291157287</v>
      </c>
      <c r="E9" s="283">
        <f>IF(E8="","",E8/(Common_Shares/Data!$C$4))</f>
        <v>0.17540297017660883</v>
      </c>
      <c r="F9" s="283" t="str">
        <f>IF(F8="","",F8/(Common_Shares/Data!$C$4))</f>
        <v/>
      </c>
      <c r="G9" s="337">
        <f>IF(F4="",IF(E4="",D8,E8),F8)*Data!C$4/Dashboard!I5</f>
        <v>0.17540297017660883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9.6000000000000002E-2</v>
      </c>
      <c r="E10" s="18">
        <f ca="1">IF(E4="","",D10)</f>
        <v>9.6000000000000002E-2</v>
      </c>
      <c r="F10" s="18" t="str">
        <f>IF(F4="","",D10)</f>
        <v/>
      </c>
      <c r="G10" s="223">
        <f ca="1">Dashboard!C12</f>
        <v>9.6000000000000002E-2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1.0960000000000001</v>
      </c>
      <c r="E11" s="219">
        <f ca="1">IF(E4="","",(1+D10)*(1+E10))</f>
        <v>1.2012160000000003</v>
      </c>
      <c r="F11" s="219" t="str">
        <f>IF(F4="","",(1+D10)*(1+E10)*(1+F10))</f>
        <v/>
      </c>
      <c r="G11" s="224">
        <f ca="1">IF(F4="",IF(E4="",D11,E11),F11)*(1+G10)</f>
        <v>1.3165327360000003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0.11707575083172707</v>
      </c>
      <c r="E12" s="193">
        <f ca="1">IF(E9="","",E9/E11)</f>
        <v>0.14602117369116693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0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1347493</v>
      </c>
      <c r="D15" s="213">
        <f>C15/(Dashboard!I5/Data!C4)</f>
        <v>0.95940438021189611</v>
      </c>
      <c r="E15" s="84" t="s">
        <v>224</v>
      </c>
      <c r="G15" s="134">
        <f>C15+C16+C17+C18</f>
        <v>43138.399999999907</v>
      </c>
    </row>
    <row r="16" spans="1:10" ht="15.75" customHeight="1">
      <c r="B16" s="58" t="s">
        <v>230</v>
      </c>
      <c r="C16" s="83">
        <f>Asset_Model!E58</f>
        <v>189521.4</v>
      </c>
      <c r="D16" s="213">
        <f>C16/(Dashboard!I5/Data!C4)</f>
        <v>0.13493774090395338</v>
      </c>
      <c r="E16" s="84" t="s">
        <v>305</v>
      </c>
      <c r="G16" s="194">
        <f>(G15+MIN(D4,0))*Data!C$4/Dashboard!I5</f>
        <v>3.0714200307781023E-2</v>
      </c>
    </row>
    <row r="17" spans="2:9" ht="15.75" customHeight="1">
      <c r="B17" s="58" t="s">
        <v>214</v>
      </c>
      <c r="C17" s="83">
        <f>-Asset_Model!D52</f>
        <v>-1480163</v>
      </c>
      <c r="D17" s="213">
        <f>C17/(Dashboard!I5/Data!C4)</f>
        <v>-1.0538643730450405</v>
      </c>
      <c r="E17" s="452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-13713</v>
      </c>
      <c r="D18" s="213">
        <f>C18/(Dashboard!I5/Data!C4)</f>
        <v>-9.7635477630278831E-3</v>
      </c>
      <c r="E18" s="452"/>
      <c r="F18" s="145">
        <f>D15+(MIN(D4,0)*Data!C$4/Dashboard!I5)</f>
        <v>0.95940438021189611</v>
      </c>
      <c r="G18" s="144">
        <f>SUM(D16:D18)</f>
        <v>-0.92869017990411507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3" t="s">
        <v>220</v>
      </c>
      <c r="F20" s="453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0.125</v>
      </c>
      <c r="D22" s="277">
        <v>8</v>
      </c>
      <c r="E22" s="202">
        <f ca="1">IF(G9&lt;0,G9,G9*D22/G11)</f>
        <v>1.0658479831472039</v>
      </c>
      <c r="F22" s="342">
        <f ca="1">E22+$G$16</f>
        <v>1.0965621834549848</v>
      </c>
      <c r="G22" s="345">
        <f ca="1">ROUND(F22*Exchange_Rate,2)</f>
        <v>1.1000000000000001</v>
      </c>
      <c r="I22" s="73"/>
    </row>
    <row r="23" spans="2:9" ht="15.75" customHeight="1" thickBot="1">
      <c r="B23" s="339" t="s">
        <v>279</v>
      </c>
      <c r="C23" s="340">
        <f>1/D23</f>
        <v>8.3333333333333329E-2</v>
      </c>
      <c r="D23" s="290">
        <v>12</v>
      </c>
      <c r="E23" s="341">
        <f ca="1">IF(G9&lt;0,G9,G9*D23/G11)</f>
        <v>1.5987719747208058</v>
      </c>
      <c r="F23" s="343">
        <f ca="1">E23+$G$16</f>
        <v>1.6294861750285867</v>
      </c>
      <c r="G23" s="348">
        <f ca="1">ROUND(F23*Exchange_Rate,2)</f>
        <v>1.63</v>
      </c>
      <c r="I23" s="73"/>
    </row>
    <row r="24" spans="2:9" ht="15.75" customHeight="1" thickTop="1">
      <c r="C24" s="6"/>
      <c r="D24" s="6"/>
      <c r="E24" s="6"/>
      <c r="F24" s="346" t="s">
        <v>312</v>
      </c>
      <c r="G24" s="347">
        <f ca="1">MIN(G22,G23)+ABS(G22-G23)*'Qualitative Analysis'!$E$64</f>
        <v>1.3418395408163266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314</v>
      </c>
      <c r="C26" s="450" t="s">
        <v>145</v>
      </c>
      <c r="D26" s="451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311</v>
      </c>
      <c r="C27" s="238">
        <f ca="1">MIN(G24,Asset_Model!D7)+ABS(G24-Asset_Model!D7)*'Qualitative Analysis'!$E$8</f>
        <v>0.8509239883824179</v>
      </c>
      <c r="D27" s="117" t="str">
        <f>Dashboard!J4</f>
        <v>HKD</v>
      </c>
      <c r="E27" s="118">
        <f ca="1">(C27-G16)/C9</f>
        <v>8.149827642143503</v>
      </c>
      <c r="F27" s="155">
        <f ca="1">C27/(Data!C28*Exchange_Rate*Data!C4/Common_Shares)</f>
        <v>0.38695205270214678</v>
      </c>
      <c r="G27" s="86"/>
      <c r="H27" s="6"/>
      <c r="I27" s="73"/>
    </row>
    <row r="28" spans="2:9" ht="15.75" customHeight="1"/>
    <row r="29" spans="2:9" ht="15.75" customHeight="1">
      <c r="B29" s="350" t="s">
        <v>306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319</v>
      </c>
      <c r="C30" s="335">
        <f ca="1">G23</f>
        <v>1.63</v>
      </c>
      <c r="D30" s="334" t="str">
        <f>D27</f>
        <v>HKD</v>
      </c>
      <c r="E30" s="118">
        <f ca="1">(C30-G16)/C9</f>
        <v>15.89093888847029</v>
      </c>
      <c r="F30" s="155">
        <f ca="1">C30/(Asset_Model!I3*Exchange_Rate*Data!C4/Common_Shares)</f>
        <v>0.74453739149438802</v>
      </c>
      <c r="I30" s="73"/>
    </row>
    <row r="31" spans="2:9" ht="15.75" customHeight="1">
      <c r="B31" s="351" t="s">
        <v>306</v>
      </c>
      <c r="C31" s="361">
        <f ca="1">MIN(C30,C27)+ABS(C30-C27)*'Qualitative Analysis'!E64</f>
        <v>1.2064171674590427</v>
      </c>
      <c r="D31" s="334" t="str">
        <f>D30</f>
        <v>HKD</v>
      </c>
      <c r="E31" s="118">
        <f ca="1">(C31-G16)/C9</f>
        <v>11.682104602935526</v>
      </c>
      <c r="F31" s="155">
        <f ca="1">C31/(Asset_Model!I3*Exchange_Rate*Data!C4/Common_Shares)</f>
        <v>0.55105686559141354</v>
      </c>
      <c r="I31" s="73"/>
    </row>
    <row r="32" spans="2:9" ht="15.75" customHeight="1">
      <c r="B32" s="333" t="s">
        <v>313</v>
      </c>
      <c r="C32" s="361">
        <f ca="1">IF(Asset_Model!D7&gt;C27,Asset_Model!D7,C27)/(1+Dashboard!C16)</f>
        <v>0.68073919070593436</v>
      </c>
      <c r="D32" s="334" t="str">
        <f>D30</f>
        <v>HKD</v>
      </c>
      <c r="E32" s="118">
        <f ca="1">(C32-G16)/C9</f>
        <v>6.4588251833308625</v>
      </c>
      <c r="F32" s="155">
        <f ca="1">C32/(Asset_Model!I3*Exchange_Rate*Data!C4/Common_Shares)</f>
        <v>0.31094219713877125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9" zoomScaleNormal="100" workbookViewId="0">
      <selection activeCell="D61" sqref="D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0</v>
      </c>
      <c r="E4" s="31" t="s">
        <v>170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2.4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1.8</v>
      </c>
      <c r="E8" s="96">
        <f>D8/4</f>
        <v>0.45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3</v>
      </c>
      <c r="E13" s="31" t="s">
        <v>148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0</v>
      </c>
      <c r="E20" s="31" t="s">
        <v>170</v>
      </c>
      <c r="F20" s="6"/>
      <c r="G20" s="274"/>
    </row>
    <row r="21" spans="2:7" ht="15" customHeight="1">
      <c r="B21" s="53" t="s">
        <v>161</v>
      </c>
      <c r="D21" s="98">
        <f t="shared" si="1"/>
        <v>1</v>
      </c>
      <c r="E21" s="31" t="s">
        <v>155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2</v>
      </c>
      <c r="E24" s="31" t="s">
        <v>147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265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0</v>
      </c>
      <c r="E31" s="31" t="s">
        <v>170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0.9</v>
      </c>
      <c r="E36" s="49" t="str">
        <f>IF(D36&gt;80%,"Very High",IF(D36&lt;=20%,"Very Low",IF(D36&lt;=40%,"Low",IF(D36&lt;=60%,"Medium","High"))))</f>
        <v>Very High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4</v>
      </c>
      <c r="E37" s="31" t="s">
        <v>157</v>
      </c>
      <c r="F37" s="6"/>
      <c r="G37" s="274"/>
    </row>
    <row r="38" spans="2:7" ht="15" customHeight="1">
      <c r="B38" s="53" t="s">
        <v>269</v>
      </c>
      <c r="D38" s="98">
        <f t="shared" si="4"/>
        <v>4</v>
      </c>
      <c r="E38" s="31" t="s">
        <v>157</v>
      </c>
      <c r="F38" s="6"/>
      <c r="G38" s="274"/>
    </row>
    <row r="39" spans="2:7" ht="15" customHeight="1">
      <c r="B39" s="53" t="s">
        <v>270</v>
      </c>
      <c r="D39" s="98">
        <f t="shared" si="4"/>
        <v>4</v>
      </c>
      <c r="E39" s="31" t="s">
        <v>157</v>
      </c>
      <c r="F39" s="6"/>
      <c r="G39" s="274"/>
    </row>
    <row r="40" spans="2:7" ht="15" customHeight="1">
      <c r="B40" s="53" t="s">
        <v>271</v>
      </c>
      <c r="D40" s="98">
        <f t="shared" si="4"/>
        <v>4</v>
      </c>
      <c r="E40" s="31" t="s">
        <v>157</v>
      </c>
      <c r="F40" s="6"/>
      <c r="G40" s="274"/>
    </row>
    <row r="41" spans="2:7" ht="15" customHeight="1">
      <c r="B41" s="53" t="s">
        <v>272</v>
      </c>
      <c r="D41" s="98">
        <f t="shared" si="4"/>
        <v>2</v>
      </c>
      <c r="E41" s="31" t="s">
        <v>147</v>
      </c>
      <c r="G41" s="274"/>
    </row>
    <row r="42" spans="2:7" ht="15" customHeight="1">
      <c r="B42" s="1" t="s">
        <v>173</v>
      </c>
      <c r="D42" s="101">
        <f>SUM(D43:D48)/(6*4)</f>
        <v>0.375</v>
      </c>
      <c r="E42" s="49" t="str">
        <f>IF(D42&gt;80%,"Very High",IF(D42&lt;=20%,"Very Low",IF(D42&lt;=40%,"Low",IF(D42&lt;=60%,"Medium","High"))))</f>
        <v>Low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4</v>
      </c>
      <c r="E43" s="31" t="s">
        <v>157</v>
      </c>
      <c r="F43" s="6"/>
      <c r="G43" s="274"/>
    </row>
    <row r="44" spans="2:7" ht="15" customHeight="1">
      <c r="B44" s="53" t="s">
        <v>175</v>
      </c>
      <c r="D44" s="98">
        <f t="shared" si="5"/>
        <v>1</v>
      </c>
      <c r="E44" s="31" t="s">
        <v>155</v>
      </c>
      <c r="F44" s="6"/>
      <c r="G44" s="274"/>
    </row>
    <row r="45" spans="2:7" ht="15" customHeight="1">
      <c r="B45" s="53" t="s">
        <v>176</v>
      </c>
      <c r="D45" s="98">
        <f t="shared" si="5"/>
        <v>2</v>
      </c>
      <c r="E45" s="31" t="s">
        <v>147</v>
      </c>
      <c r="F45" s="6"/>
      <c r="G45" s="274"/>
    </row>
    <row r="46" spans="2:7" ht="15" customHeight="1">
      <c r="B46" s="53" t="s">
        <v>177</v>
      </c>
      <c r="D46" s="98">
        <f t="shared" si="5"/>
        <v>2</v>
      </c>
      <c r="E46" s="31" t="s">
        <v>147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0</v>
      </c>
      <c r="E48" s="31" t="s">
        <v>170</v>
      </c>
      <c r="F48" s="6"/>
      <c r="G48" s="274"/>
    </row>
    <row r="49" spans="2:8" ht="15" customHeight="1">
      <c r="B49" s="1" t="s">
        <v>179</v>
      </c>
      <c r="D49" s="101">
        <f>SUM(D50:D54)/(5*4)</f>
        <v>0.36564625850340138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1</v>
      </c>
      <c r="E52" s="31" t="s">
        <v>155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323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0.83333333333333337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3</v>
      </c>
      <c r="E58" s="31" t="s">
        <v>148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0.425204081632653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1.8252040816326529</v>
      </c>
      <c r="E64" s="123">
        <f>AVERAGE(AVERAGE(D12:D16)/4,AVERAGE(D18:D22)/4,AVERAGE(D24:D28)/4,D62)</f>
        <v>0.45630102040816323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2023-07-25T03:35:45Z</dcterms:modified>
  <cp:category/>
  <cp:contentStatus/>
</cp:coreProperties>
</file>