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012CC680-B740-4BEA-8442-64A51F08F1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Asset_Model" sheetId="3" r:id="rId2"/>
    <sheet name="Asset_Model (2)" sheetId="10" r:id="rId3"/>
    <sheet name="Income_Model" sheetId="7" r:id="rId4"/>
    <sheet name="Data (2)" sheetId="9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iterate="1" iterateDelta="9.9999999999994451E-4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1" i="10" l="1"/>
  <c r="D15" i="3"/>
  <c r="E15" i="3"/>
  <c r="F15" i="3"/>
  <c r="G15" i="3"/>
  <c r="C15" i="3"/>
  <c r="F7" i="3"/>
  <c r="E7" i="3" s="1"/>
  <c r="D7" i="3" s="1"/>
  <c r="C7" i="3" s="1"/>
  <c r="F6" i="3"/>
  <c r="C41" i="10"/>
  <c r="C31" i="10"/>
  <c r="C30" i="10"/>
  <c r="I29" i="10"/>
  <c r="C29" i="10"/>
  <c r="C28" i="10"/>
  <c r="C26" i="10"/>
  <c r="C32" i="10" s="1"/>
  <c r="E25" i="10"/>
  <c r="E24" i="10"/>
  <c r="E23" i="10"/>
  <c r="G22" i="10"/>
  <c r="E22" i="10"/>
  <c r="E31" i="10" s="1"/>
  <c r="D31" i="10" s="1"/>
  <c r="G21" i="10"/>
  <c r="E21" i="10"/>
  <c r="E20" i="10"/>
  <c r="E19" i="10"/>
  <c r="E18" i="10"/>
  <c r="E30" i="10" s="1"/>
  <c r="G17" i="10"/>
  <c r="E17" i="10"/>
  <c r="E16" i="10"/>
  <c r="C15" i="10"/>
  <c r="E15" i="10" s="1"/>
  <c r="E40" i="10" s="1"/>
  <c r="E14" i="10"/>
  <c r="E29" i="10" s="1"/>
  <c r="D29" i="10" s="1"/>
  <c r="E13" i="10"/>
  <c r="E12" i="10"/>
  <c r="I28" i="10"/>
  <c r="I7" i="10" s="1"/>
  <c r="E11" i="10"/>
  <c r="E41" i="10" s="1"/>
  <c r="D41" i="10" s="1"/>
  <c r="E7" i="10"/>
  <c r="I4" i="10"/>
  <c r="C3" i="4"/>
  <c r="B10" i="7"/>
  <c r="G24" i="7"/>
  <c r="B24" i="7"/>
  <c r="H3" i="7"/>
  <c r="F3" i="7"/>
  <c r="F23" i="7"/>
  <c r="C20" i="7"/>
  <c r="D20" i="7"/>
  <c r="E20" i="7"/>
  <c r="F20" i="7"/>
  <c r="G20" i="7"/>
  <c r="J17" i="7"/>
  <c r="I17" i="7"/>
  <c r="J3" i="7"/>
  <c r="C18" i="7"/>
  <c r="I18" i="7"/>
  <c r="J18" i="7"/>
  <c r="C15" i="7"/>
  <c r="D14" i="7" s="1"/>
  <c r="C13" i="7"/>
  <c r="D11" i="7"/>
  <c r="D10" i="7"/>
  <c r="E11" i="7" s="1"/>
  <c r="E10" i="7"/>
  <c r="F11" i="7" s="1"/>
  <c r="D36" i="9"/>
  <c r="G36" i="9"/>
  <c r="H37" i="9"/>
  <c r="K37" i="9"/>
  <c r="L37" i="9"/>
  <c r="M47" i="9"/>
  <c r="L47" i="9"/>
  <c r="K47" i="9"/>
  <c r="J47" i="9"/>
  <c r="I47" i="9"/>
  <c r="H47" i="9"/>
  <c r="G47" i="9"/>
  <c r="F47" i="9"/>
  <c r="E47" i="9"/>
  <c r="D47" i="9"/>
  <c r="C47" i="9"/>
  <c r="M43" i="9"/>
  <c r="L43" i="9"/>
  <c r="K43" i="9"/>
  <c r="J43" i="9"/>
  <c r="I43" i="9"/>
  <c r="H43" i="9"/>
  <c r="G43" i="9"/>
  <c r="F43" i="9"/>
  <c r="E43" i="9"/>
  <c r="D43" i="9"/>
  <c r="C43" i="9"/>
  <c r="M42" i="9"/>
  <c r="L42" i="9"/>
  <c r="K42" i="9"/>
  <c r="J42" i="9"/>
  <c r="I42" i="9"/>
  <c r="H42" i="9"/>
  <c r="G42" i="9"/>
  <c r="F42" i="9"/>
  <c r="E42" i="9"/>
  <c r="D42" i="9"/>
  <c r="C42" i="9"/>
  <c r="M39" i="9"/>
  <c r="L39" i="9"/>
  <c r="K39" i="9"/>
  <c r="J39" i="9"/>
  <c r="I39" i="9"/>
  <c r="H39" i="9"/>
  <c r="G39" i="9"/>
  <c r="F39" i="9"/>
  <c r="E39" i="9"/>
  <c r="D39" i="9"/>
  <c r="C39" i="9"/>
  <c r="M38" i="9"/>
  <c r="L38" i="9"/>
  <c r="K38" i="9"/>
  <c r="J38" i="9"/>
  <c r="I38" i="9"/>
  <c r="H38" i="9"/>
  <c r="G38" i="9"/>
  <c r="F38" i="9"/>
  <c r="E38" i="9"/>
  <c r="D38" i="9"/>
  <c r="C38" i="9"/>
  <c r="M36" i="9"/>
  <c r="L36" i="9"/>
  <c r="K36" i="9"/>
  <c r="J36" i="9"/>
  <c r="I36" i="9"/>
  <c r="H36" i="9"/>
  <c r="E36" i="9"/>
  <c r="M35" i="9"/>
  <c r="L35" i="9"/>
  <c r="K35" i="9"/>
  <c r="J35" i="9"/>
  <c r="I35" i="9"/>
  <c r="H35" i="9"/>
  <c r="G35" i="9"/>
  <c r="F35" i="9"/>
  <c r="E35" i="9"/>
  <c r="D35" i="9"/>
  <c r="C35" i="9"/>
  <c r="M33" i="9"/>
  <c r="L33" i="9"/>
  <c r="K33" i="9"/>
  <c r="J33" i="9"/>
  <c r="I33" i="9"/>
  <c r="H33" i="9"/>
  <c r="G33" i="9"/>
  <c r="F33" i="9"/>
  <c r="E33" i="9"/>
  <c r="D33" i="9"/>
  <c r="C33" i="9"/>
  <c r="M32" i="9"/>
  <c r="L32" i="9"/>
  <c r="K32" i="9"/>
  <c r="J32" i="9"/>
  <c r="I32" i="9"/>
  <c r="H32" i="9"/>
  <c r="G32" i="9"/>
  <c r="F32" i="9"/>
  <c r="E32" i="9"/>
  <c r="D32" i="9"/>
  <c r="C32" i="9"/>
  <c r="M22" i="9"/>
  <c r="L22" i="9"/>
  <c r="K22" i="9"/>
  <c r="J22" i="9"/>
  <c r="I22" i="9"/>
  <c r="H22" i="9"/>
  <c r="G22" i="9"/>
  <c r="F22" i="9"/>
  <c r="E22" i="9"/>
  <c r="D22" i="9"/>
  <c r="C22" i="9"/>
  <c r="M20" i="9"/>
  <c r="L20" i="9"/>
  <c r="K20" i="9"/>
  <c r="J20" i="9"/>
  <c r="I20" i="9"/>
  <c r="H20" i="9"/>
  <c r="M18" i="9"/>
  <c r="M17" i="9"/>
  <c r="M19" i="9" s="1"/>
  <c r="L17" i="9"/>
  <c r="K18" i="9" s="1"/>
  <c r="K17" i="9"/>
  <c r="K16" i="9" s="1"/>
  <c r="K41" i="9" s="1"/>
  <c r="K44" i="9" s="1"/>
  <c r="K45" i="9" s="1"/>
  <c r="J17" i="9"/>
  <c r="J19" i="9" s="1"/>
  <c r="I17" i="9"/>
  <c r="I19" i="9" s="1"/>
  <c r="H17" i="9"/>
  <c r="G18" i="9" s="1"/>
  <c r="G17" i="9"/>
  <c r="G16" i="9" s="1"/>
  <c r="G41" i="9" s="1"/>
  <c r="G44" i="9" s="1"/>
  <c r="G45" i="9" s="1"/>
  <c r="F17" i="9"/>
  <c r="F19" i="9" s="1"/>
  <c r="F20" i="9" s="1"/>
  <c r="E17" i="9"/>
  <c r="E19" i="9" s="1"/>
  <c r="E20" i="9" s="1"/>
  <c r="D17" i="9"/>
  <c r="D19" i="9" s="1"/>
  <c r="D20" i="9" s="1"/>
  <c r="C17" i="9"/>
  <c r="C16" i="9" s="1"/>
  <c r="C41" i="9" s="1"/>
  <c r="C44" i="9" s="1"/>
  <c r="C45" i="9" s="1"/>
  <c r="M15" i="9"/>
  <c r="L15" i="9"/>
  <c r="K15" i="9"/>
  <c r="J15" i="9"/>
  <c r="I15" i="9"/>
  <c r="H15" i="9"/>
  <c r="G15" i="9"/>
  <c r="F15" i="9"/>
  <c r="E15" i="9"/>
  <c r="D15" i="9"/>
  <c r="C15" i="9"/>
  <c r="M37" i="9"/>
  <c r="J37" i="9"/>
  <c r="I37" i="9"/>
  <c r="F36" i="9"/>
  <c r="E37" i="9"/>
  <c r="C36" i="9"/>
  <c r="C6" i="9"/>
  <c r="D6" i="9" s="1"/>
  <c r="E6" i="9" s="1"/>
  <c r="F6" i="9" s="1"/>
  <c r="G6" i="9" s="1"/>
  <c r="H6" i="9" s="1"/>
  <c r="I6" i="9" s="1"/>
  <c r="J6" i="9" s="1"/>
  <c r="K6" i="9" s="1"/>
  <c r="L6" i="9" s="1"/>
  <c r="M6" i="9" s="1"/>
  <c r="E4" i="9"/>
  <c r="F3" i="9" a="1"/>
  <c r="F3" i="9" s="1"/>
  <c r="F4" i="7"/>
  <c r="F10" i="7" s="1"/>
  <c r="F15" i="7" s="1"/>
  <c r="G4" i="7"/>
  <c r="G10" i="7" s="1"/>
  <c r="G18" i="7" s="1"/>
  <c r="I8" i="10" l="1"/>
  <c r="I30" i="10"/>
  <c r="J30" i="10" s="1"/>
  <c r="C33" i="10"/>
  <c r="D40" i="10"/>
  <c r="D30" i="10"/>
  <c r="E28" i="10"/>
  <c r="C40" i="10"/>
  <c r="I17" i="10"/>
  <c r="E26" i="10"/>
  <c r="E32" i="10" s="1"/>
  <c r="J18" i="9"/>
  <c r="E18" i="7"/>
  <c r="F18" i="7"/>
  <c r="D18" i="7"/>
  <c r="F13" i="7"/>
  <c r="D13" i="7"/>
  <c r="D15" i="7"/>
  <c r="E14" i="7" s="1"/>
  <c r="E13" i="7"/>
  <c r="E15" i="7"/>
  <c r="F14" i="7" s="1"/>
  <c r="D16" i="9"/>
  <c r="D41" i="9" s="1"/>
  <c r="L16" i="9"/>
  <c r="L41" i="9" s="1"/>
  <c r="L44" i="9" s="1"/>
  <c r="L45" i="9" s="1"/>
  <c r="H16" i="9"/>
  <c r="H41" i="9" s="1"/>
  <c r="H44" i="9" s="1"/>
  <c r="H45" i="9" s="1"/>
  <c r="G11" i="7"/>
  <c r="D44" i="9"/>
  <c r="D45" i="9" s="1"/>
  <c r="H19" i="9"/>
  <c r="F16" i="9"/>
  <c r="F41" i="9" s="1"/>
  <c r="F44" i="9" s="1"/>
  <c r="F45" i="9" s="1"/>
  <c r="C19" i="9"/>
  <c r="C20" i="9" s="1"/>
  <c r="K19" i="9"/>
  <c r="F18" i="9"/>
  <c r="L19" i="9"/>
  <c r="J16" i="9"/>
  <c r="J41" i="9" s="1"/>
  <c r="J44" i="9" s="1"/>
  <c r="J45" i="9" s="1"/>
  <c r="G19" i="9"/>
  <c r="G20" i="9" s="1"/>
  <c r="F37" i="9"/>
  <c r="E16" i="9"/>
  <c r="E41" i="9" s="1"/>
  <c r="E44" i="9" s="1"/>
  <c r="E45" i="9" s="1"/>
  <c r="I16" i="9"/>
  <c r="I41" i="9" s="1"/>
  <c r="I44" i="9" s="1"/>
  <c r="I45" i="9" s="1"/>
  <c r="M16" i="9"/>
  <c r="M41" i="9" s="1"/>
  <c r="M44" i="9" s="1"/>
  <c r="M45" i="9" s="1"/>
  <c r="C18" i="9"/>
  <c r="C37" i="9"/>
  <c r="G37" i="9"/>
  <c r="D18" i="9"/>
  <c r="H18" i="9"/>
  <c r="L18" i="9"/>
  <c r="D37" i="9"/>
  <c r="E18" i="9"/>
  <c r="I18" i="9"/>
  <c r="B10" i="4"/>
  <c r="F4" i="4"/>
  <c r="E4" i="4"/>
  <c r="D32" i="10" l="1"/>
  <c r="E33" i="10"/>
  <c r="F28" i="10"/>
  <c r="D28" i="10"/>
  <c r="I31" i="10"/>
  <c r="J31" i="10" s="1"/>
  <c r="I6" i="10"/>
  <c r="E3" i="10"/>
  <c r="D3" i="10"/>
  <c r="D4" i="10" s="1"/>
  <c r="C37" i="10" s="1"/>
  <c r="F4" i="9"/>
  <c r="G20" i="4"/>
  <c r="I32" i="10" l="1"/>
  <c r="J32" i="10" s="1"/>
  <c r="J33" i="10" s="1"/>
  <c r="D33" i="10"/>
  <c r="F30" i="10"/>
  <c r="F32" i="10"/>
  <c r="D3" i="3"/>
  <c r="I10" i="1" s="1"/>
  <c r="E37" i="10" s="1"/>
  <c r="D6" i="10" l="1"/>
  <c r="D7" i="10" s="1"/>
  <c r="D42" i="10"/>
  <c r="D37" i="10"/>
  <c r="D36" i="10"/>
  <c r="E6" i="10"/>
  <c r="E3" i="3"/>
  <c r="C37" i="1" l="1"/>
  <c r="B18" i="1" s="1"/>
  <c r="J20" i="1"/>
  <c r="F42" i="1"/>
  <c r="F5" i="4"/>
  <c r="B5" i="4"/>
  <c r="J10" i="1"/>
  <c r="E5" i="1"/>
  <c r="H10" i="7" l="1"/>
  <c r="C4" i="4"/>
  <c r="J27" i="1"/>
  <c r="H12" i="7" l="1"/>
  <c r="D4" i="4"/>
  <c r="H11" i="7"/>
  <c r="B16" i="1" l="1"/>
  <c r="D4" i="3" l="1"/>
  <c r="D3" i="5"/>
  <c r="D4" i="5"/>
  <c r="D12" i="5"/>
  <c r="D13" i="5"/>
  <c r="D14" i="5"/>
  <c r="D15" i="5"/>
  <c r="D16" i="5"/>
  <c r="D24" i="5"/>
  <c r="D25" i="5"/>
  <c r="D26" i="5"/>
  <c r="D27" i="5"/>
  <c r="D28" i="5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13" i="4"/>
  <c r="F13" i="4"/>
  <c r="C12" i="1"/>
  <c r="E6" i="1"/>
  <c r="E28" i="1"/>
  <c r="I4" i="3"/>
  <c r="D6" i="1"/>
  <c r="B3" i="4"/>
  <c r="D19" i="4"/>
  <c r="D7" i="1"/>
  <c r="C7" i="1"/>
  <c r="J12" i="1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I9" i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54" i="5" l="1" a="1"/>
  <c r="D54" i="5" s="1"/>
  <c r="D49" i="5" s="1"/>
  <c r="E49" i="5" s="1"/>
  <c r="C11" i="1"/>
  <c r="F24" i="7"/>
  <c r="D20" i="4"/>
  <c r="D22" i="4" s="1"/>
  <c r="D36" i="5"/>
  <c r="E36" i="5" s="1"/>
  <c r="D6" i="5"/>
  <c r="E6" i="5" s="1"/>
  <c r="D55" i="5"/>
  <c r="E55" i="5" s="1"/>
  <c r="D42" i="5"/>
  <c r="E42" i="5" s="1"/>
  <c r="D30" i="5"/>
  <c r="E30" i="5" s="1"/>
  <c r="D5" i="5"/>
  <c r="E5" i="5" s="1"/>
  <c r="G8" i="4"/>
  <c r="G15" i="7"/>
  <c r="G13" i="7"/>
  <c r="J12" i="7" s="1"/>
  <c r="J15" i="7" s="1"/>
  <c r="E34" i="1"/>
  <c r="I33" i="1"/>
  <c r="I34" i="1" s="1"/>
  <c r="I35" i="1" s="1"/>
  <c r="I29" i="1"/>
  <c r="J16" i="1"/>
  <c r="C12" i="4"/>
  <c r="G14" i="7" l="1"/>
  <c r="E3" i="7"/>
  <c r="E24" i="7" s="1"/>
  <c r="D21" i="4"/>
  <c r="H15" i="7"/>
  <c r="D62" i="5"/>
  <c r="E62" i="5" s="1"/>
  <c r="E35" i="1"/>
  <c r="C38" i="1"/>
  <c r="D3" i="4"/>
  <c r="D3" i="7" l="1"/>
  <c r="C3" i="7" l="1"/>
  <c r="C24" i="7" s="1"/>
  <c r="D24" i="7"/>
  <c r="D18" i="5" l="1"/>
  <c r="F44" i="1"/>
  <c r="F43" i="1" l="1"/>
  <c r="D64" i="5"/>
  <c r="D7" i="5" s="1"/>
  <c r="D8" i="5" s="1"/>
  <c r="E8" i="5" s="1"/>
  <c r="F41" i="1" s="1"/>
  <c r="H16" i="1" l="1"/>
  <c r="D5" i="4"/>
  <c r="I12" i="7" l="1"/>
  <c r="I3" i="7"/>
  <c r="E3" i="4" l="1"/>
  <c r="F20" i="4"/>
  <c r="E20" i="4"/>
  <c r="I15" i="7"/>
  <c r="F2" i="7" l="1"/>
  <c r="F8" i="4" l="1"/>
  <c r="D8" i="4"/>
  <c r="F3" i="4"/>
  <c r="G4" i="4" l="1"/>
  <c r="B13" i="4" s="1"/>
  <c r="G2" i="4" s="1"/>
  <c r="D9" i="4"/>
  <c r="F9" i="4"/>
  <c r="E8" i="4"/>
  <c r="E9" i="4" s="1"/>
  <c r="E10" i="4" s="1"/>
  <c r="D10" i="4" l="1"/>
  <c r="E5" i="4"/>
  <c r="F10" i="4" l="1"/>
  <c r="G9" i="4" l="1"/>
  <c r="E14" i="4" l="1"/>
  <c r="F14" i="4" l="1"/>
  <c r="G14" i="4" s="1"/>
  <c r="C19" i="4" l="1"/>
  <c r="G19" i="4" s="1"/>
  <c r="C22" i="4" l="1"/>
  <c r="G22" i="4" s="1"/>
  <c r="C21" i="4"/>
  <c r="G21" i="4" s="1"/>
  <c r="E19" i="4"/>
  <c r="F19" i="4"/>
  <c r="E14" i="1"/>
  <c r="F22" i="4" l="1"/>
  <c r="E22" i="4"/>
  <c r="I38" i="1"/>
  <c r="F48" i="1"/>
  <c r="F21" i="4"/>
  <c r="I37" i="1"/>
  <c r="E21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<sst xmlns="http://schemas.openxmlformats.org/spreadsheetml/2006/main" count="386" uniqueCount="320">
  <si>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</si>
  <si>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</si>
  <si>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</si>
  <si>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</si>
  <si>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</si>
  <si>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</si>
  <si>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</si>
  <si>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</si>
  <si>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</si>
  <si>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</si>
  <si>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</si>
  <si>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</si>
  <si>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</si>
  <si>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</si>
  <si>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</si>
  <si>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</si>
  <si>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</si>
  <si>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</si>
  <si>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</si>
  <si>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</si>
  <si>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</si>
  <si>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</si>
  <si>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</si>
  <si>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</si>
  <si>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</si>
  <si>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</si>
  <si>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</si>
  <si>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</si>
  <si>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</si>
  <si>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</si>
  <si>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</si>
  <si>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</si>
  <si>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</si>
  <si>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</si>
  <si>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</si>
  <si>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</si>
  <si>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</si>
  <si>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</si>
  <si>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</si>
  <si>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</si>
  <si>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</si>
  <si>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</si>
  <si>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</si>
  <si>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</si>
  <si>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</si>
  <si>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</si>
  <si>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</si>
  <si>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Interest-bearing Debt</t>
  </si>
  <si>
    <t>Total Equity</t>
  </si>
  <si>
    <t>Dividend and Buyback</t>
  </si>
  <si>
    <t>Share Repurchase</t>
  </si>
  <si>
    <t>Financial Leverage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</si>
  <si>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</si>
  <si>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</si>
  <si>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</si>
  <si>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</si>
  <si>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</si>
  <si>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</si>
  <si>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</si>
  <si>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</si>
  <si>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</si>
  <si>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Properties held for sale</t>
  </si>
  <si>
    <t>Properties under development</t>
  </si>
  <si>
    <t>Investments in JV or associate</t>
  </si>
  <si>
    <t>Intangible assets</t>
  </si>
  <si>
    <t>Other assets &amp; Goodwill</t>
  </si>
  <si>
    <t>Balance Sheet items Adjustments</t>
  </si>
  <si>
    <t>Market EV</t>
  </si>
  <si>
    <t>Note</t>
  </si>
  <si>
    <t>Operating Expenses =</t>
  </si>
  <si>
    <t>Tax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</si>
  <si>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</si>
  <si>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</si>
  <si>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</si>
  <si>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</si>
  <si>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</si>
  <si>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</si>
  <si>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</si>
  <si>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</si>
  <si>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</si>
  <si>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</si>
  <si>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</si>
  <si>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</si>
  <si>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</si>
  <si>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</si>
  <si>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</si>
  <si>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</si>
  <si>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</si>
  <si>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</si>
  <si>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</si>
  <si>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</si>
  <si>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</si>
  <si>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</si>
  <si>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</si>
  <si>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</si>
  <si>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</si>
  <si>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</si>
  <si>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</si>
  <si>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</si>
  <si>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</si>
  <si>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</si>
  <si>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</si>
  <si>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</si>
  <si>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</si>
  <si>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</si>
  <si>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</si>
  <si>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</si>
  <si>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</si>
  <si>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</si>
  <si>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</si>
  <si>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</si>
  <si>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</si>
  <si>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</si>
  <si>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</si>
  <si>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</si>
  <si>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</si>
  <si>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</si>
  <si>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</si>
  <si>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</si>
  <si>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</si>
  <si>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</si>
  <si>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</si>
  <si>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</si>
  <si>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</si>
  <si>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</si>
  <si>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</si>
  <si>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</si>
  <si>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</si>
  <si>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</si>
  <si>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</si>
  <si>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</si>
  <si>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</si>
  <si>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</si>
  <si>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</si>
  <si>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</si>
  <si>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</si>
  <si>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 xml:space="preserve">Non-common Interest = </t>
  </si>
  <si>
    <t>TV per share</t>
  </si>
  <si>
    <t>Present Value</t>
  </si>
  <si>
    <t>Ending Cash Position</t>
  </si>
  <si>
    <t>Non-operating Assets</t>
  </si>
  <si>
    <t>is_OP</t>
  </si>
  <si>
    <t>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</si>
  <si>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</si>
  <si>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</si>
  <si>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</si>
  <si>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</si>
  <si>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</si>
  <si>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</si>
  <si>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</si>
  <si>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</si>
  <si>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</si>
  <si>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</si>
  <si>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</si>
  <si>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</si>
  <si>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</si>
  <si>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</si>
  <si>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</si>
  <si>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</si>
  <si>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</si>
  <si>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</si>
  <si>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</si>
  <si>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</si>
  <si>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</si>
  <si>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</si>
  <si>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</si>
  <si>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</si>
  <si>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</si>
  <si>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</si>
  <si>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</si>
  <si>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</si>
  <si>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</si>
  <si>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</si>
  <si>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</si>
  <si>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PP&amp;E &amp; related assets</t>
  </si>
  <si>
    <t>1. Is the company's balance sheet strong?  (Measured by Liquidity)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</si>
  <si>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</si>
  <si>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</si>
  <si>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Total Liabilities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</si>
  <si>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</si>
  <si>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</si>
  <si>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</si>
  <si>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</si>
  <si>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</si>
  <si>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</si>
  <si>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</si>
  <si>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</si>
  <si>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</si>
  <si>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</si>
  <si>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</si>
  <si>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</si>
  <si>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</si>
  <si>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</si>
  <si>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</si>
  <si>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</si>
  <si>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</si>
  <si>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</si>
  <si>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</si>
  <si>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</si>
  <si>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</si>
  <si>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</si>
  <si>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</si>
  <si>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</si>
  <si>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</si>
  <si>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</si>
  <si>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</si>
  <si>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</si>
  <si>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</si>
  <si>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</si>
  <si>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</si>
  <si>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Frd. DPS</t>
  </si>
  <si>
    <t>Achievable Market Exit Price</t>
  </si>
  <si>
    <t>Conservative Exit Price</t>
  </si>
  <si>
    <t>Conservative Exit Price =</t>
  </si>
  <si>
    <t>Orderly Liquidation Values =</t>
  </si>
  <si>
    <t>Orderly Liquidation Value per Shares =</t>
  </si>
  <si>
    <t>Target Return</t>
  </si>
  <si>
    <t>MOS =</t>
  </si>
  <si>
    <t>CN</t>
  </si>
  <si>
    <t>Direct TV Inputs</t>
  </si>
  <si>
    <t>P/B</t>
  </si>
  <si>
    <t>LFY P/S</t>
  </si>
  <si>
    <t>DCF Model Ouput</t>
  </si>
  <si>
    <t>DCF Model</t>
  </si>
  <si>
    <t>P/B &amp; P/S Ratios:</t>
  </si>
  <si>
    <t>Expected Prices</t>
  </si>
  <si>
    <t>4. The Company's Liquidity and leverage rating</t>
  </si>
  <si>
    <t>Despite a cylical one</t>
  </si>
  <si>
    <t>Value @</t>
  </si>
  <si>
    <t>Total Liabilities / Total Assets</t>
  </si>
  <si>
    <t>Total Assets</t>
  </si>
  <si>
    <t>ROE = EBIT / Total Equity</t>
  </si>
  <si>
    <t>Total Assets / Total Equity</t>
  </si>
  <si>
    <t>%</t>
  </si>
  <si>
    <t>2. Sentiment Trap</t>
  </si>
  <si>
    <t>b). Rely on bottom-up research to uncover bargains in a pessimistic market.</t>
  </si>
  <si>
    <t>a). It's our job as a value investor to catch the falling knife</t>
  </si>
  <si>
    <t>CNY</t>
  </si>
  <si>
    <t>Quarter</t>
  </si>
  <si>
    <t>Doesn't have a real brand yet</t>
  </si>
  <si>
    <t xml:space="preserve">Asset Plays </t>
  </si>
  <si>
    <t>Cost of Equity</t>
  </si>
  <si>
    <t>Interest Inocme</t>
  </si>
  <si>
    <t>Core-Monetary Asset</t>
  </si>
  <si>
    <t>Noncore-Monetary Asset</t>
  </si>
  <si>
    <t>Other liabilities</t>
  </si>
  <si>
    <t>Deposit in other banks</t>
  </si>
  <si>
    <t>Precious metals</t>
  </si>
  <si>
    <t>FV Investments</t>
  </si>
  <si>
    <t>Derivatives</t>
  </si>
  <si>
    <t>Amortized Cost Bonds</t>
  </si>
  <si>
    <t>DTA</t>
  </si>
  <si>
    <t>Loans</t>
  </si>
  <si>
    <t>Repurchase Agreements</t>
  </si>
  <si>
    <t>Interbank lending</t>
  </si>
  <si>
    <t>Loans &amp; other Monetary assets</t>
  </si>
  <si>
    <t>Tangible assets</t>
  </si>
  <si>
    <t>Deposit</t>
  </si>
  <si>
    <t>Interbank Borrowings</t>
  </si>
  <si>
    <t>Issued Bonds</t>
  </si>
  <si>
    <t>FV Financial Liabilities</t>
  </si>
  <si>
    <t>Book Asset/Equity Ratio</t>
  </si>
  <si>
    <t>Book D/E Ratio</t>
  </si>
  <si>
    <t>Financial Liabilities</t>
  </si>
  <si>
    <t>CE Tier 1 Ratio</t>
  </si>
  <si>
    <t>Intangible Assets</t>
  </si>
  <si>
    <t>Assets/Liabilities Ratio</t>
  </si>
  <si>
    <t>Book CE Tier 1 Ratio</t>
  </si>
  <si>
    <t>Other Financial Liabilities</t>
  </si>
  <si>
    <t>Cash Ratio</t>
  </si>
  <si>
    <t>Payout Ratio</t>
  </si>
  <si>
    <t>1288.HK</t>
  </si>
  <si>
    <t>农业银行</t>
  </si>
  <si>
    <t>EPS</t>
  </si>
  <si>
    <t>Dividends Per share</t>
  </si>
  <si>
    <t>2. Non-operating Assets, STI &amp; Cash</t>
  </si>
  <si>
    <t>中国4大国有银行</t>
  </si>
  <si>
    <t>Dividend Growth Rate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</si>
  <si>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DDM =</t>
    </r>
  </si>
  <si>
    <t>+ CAP Period</t>
  </si>
  <si>
    <t>Dividends</t>
  </si>
  <si>
    <t>Revenue Growth rate</t>
  </si>
  <si>
    <t>Bank Risk Indicators</t>
  </si>
  <si>
    <t>Credit impairment losses</t>
  </si>
  <si>
    <t>Customer Deposit</t>
  </si>
  <si>
    <t>Total Asset / Common Equity</t>
  </si>
  <si>
    <t>Net Interest Income/ Sales</t>
  </si>
  <si>
    <t>Net Interest Income / Loan</t>
  </si>
  <si>
    <t>Net Profit Margin</t>
  </si>
  <si>
    <t>Credit impairment losses %</t>
  </si>
  <si>
    <t>Liquidity ratio (&gt;=25%)</t>
  </si>
  <si>
    <t>Loan migration ratio</t>
  </si>
  <si>
    <t>1. Net Interest Income</t>
  </si>
  <si>
    <t>2. Service Income</t>
  </si>
  <si>
    <t>3. Investment Income</t>
  </si>
  <si>
    <t>4. Other Income</t>
  </si>
  <si>
    <t>Allowance for loan impairment</t>
  </si>
  <si>
    <t>Operating Margin</t>
  </si>
  <si>
    <t>Operating Profit =</t>
  </si>
  <si>
    <t>Operating Profit Growth</t>
  </si>
  <si>
    <t>Profit Before Tax</t>
  </si>
  <si>
    <t>Net Income to CE</t>
  </si>
  <si>
    <t>Profibility Indicators</t>
  </si>
  <si>
    <t>Income Projections</t>
  </si>
  <si>
    <t>ROE on Total Assets</t>
  </si>
  <si>
    <t>Net Interest Margin</t>
  </si>
  <si>
    <t>Net Interest Spread (bps)</t>
  </si>
  <si>
    <t>ROE on Risk-Weighted Assets</t>
  </si>
  <si>
    <t>Cost-Income Ratio</t>
  </si>
  <si>
    <t>Asset Quality Indicators</t>
  </si>
  <si>
    <t>Asset</t>
  </si>
  <si>
    <t>Total Asset</t>
  </si>
  <si>
    <t>Including: Corporate loans</t>
  </si>
  <si>
    <t>Discounted bills</t>
  </si>
  <si>
    <t>Retail loans</t>
  </si>
  <si>
    <t>Overseas and others</t>
  </si>
  <si>
    <t>Allowance for impairment losses</t>
  </si>
  <si>
    <t>Net Loans &amp; advances to customers</t>
  </si>
  <si>
    <t>Total Loans &amp; advances to customers</t>
  </si>
  <si>
    <t>Financial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</si>
</sst>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&quot;Past &quot;0&quot; yrs Avg. NOPAT&quot;"/>
    <numFmt numFmtId="174" formatCode="#,##0;[Red]\(#,##0\);\-"/>
    <numFmt numFmtId="175" formatCode="&quot;Current Price = &quot;0.00"/>
    <numFmt numFmtId="176" formatCode="yyyy\-mm\-dd;@"/>
    <numFmt numFmtId="177" formatCode="_(* #,##0_);_(* \(#,##0\);_(* &quot;-&quot;??_);_(@_)"/>
    <numFmt numFmtId="179" formatCode="&quot;in&quot;\ 0\ &quot;Months&quot;"/>
    <numFmt numFmtId="180" formatCode="&quot;Breakeven Price = &quot;0.00"/>
    <numFmt numFmtId="181" formatCode="&quot;Next Buy Price = &quot;0.00"/>
    <numFmt numFmtId="182" formatCode="0.0%"/>
    <numFmt numFmtId="183" formatCode="&quot;FCFF per share = &quot;#,##0.00"/>
    <numFmt numFmtId="184" formatCode="&quot;Total &quot;0.00%"/>
    <numFmt numFmtId="187" formatCode="&quot;Unit: &quot;\ #,##0"/>
  </numFmts>
  <fonts count="38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0"/>
      <name val="Geneva"/>
    </font>
    <font>
      <sz val="10"/>
      <name val="Geneva"/>
      <family val="2"/>
    </font>
    <font>
      <i/>
      <u/>
      <sz val="11"/>
      <name val="Times New Roman"/>
      <family val="1"/>
    </font>
    <font>
      <u/>
      <sz val="11"/>
      <color rgb="FF0000FF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4" fillId="0" borderId="9"/>
    <xf numFmtId="8" fontId="35" fillId="0" borderId="9" applyFont="0" applyFill="0" applyBorder="0" applyAlignment="0" applyProtection="0"/>
    <xf numFmtId="9" fontId="35" fillId="0" borderId="9" applyFont="0" applyFill="0" applyBorder="0" applyAlignment="0" applyProtection="0"/>
  </cellStyleXfs>
  <cellXfs count="3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3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5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9" xfId="0" applyNumberFormat="1" applyFont="1" applyBorder="1"/>
    <xf numFmtId="177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6" fontId="18" fillId="4" borderId="5" xfId="0" applyNumberFormat="1" applyFont="1" applyFill="1" applyBorder="1" applyAlignment="1">
      <alignment horizontal="center"/>
    </xf>
    <xf numFmtId="176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0" fontId="27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15" fillId="0" borderId="11" xfId="0" applyFont="1" applyBorder="1"/>
    <xf numFmtId="176" fontId="18" fillId="0" borderId="9" xfId="0" applyNumberFormat="1" applyFont="1" applyBorder="1" applyAlignment="1">
      <alignment horizontal="center"/>
    </xf>
    <xf numFmtId="181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2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5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4" fontId="5" fillId="13" borderId="26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6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6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4" fontId="2" fillId="20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4" fontId="7" fillId="0" borderId="9" xfId="0" applyNumberFormat="1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10" fontId="2" fillId="19" borderId="12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79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3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29" xfId="0" applyNumberFormat="1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5" fillId="0" borderId="0" xfId="0" applyNumberFormat="1" applyFont="1"/>
    <xf numFmtId="0" fontId="33" fillId="0" borderId="2" xfId="0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/>
    </xf>
    <xf numFmtId="0" fontId="8" fillId="0" borderId="15" xfId="0" applyFont="1" applyBorder="1"/>
    <xf numFmtId="3" fontId="1" fillId="0" borderId="15" xfId="0" applyNumberFormat="1" applyFont="1" applyBorder="1" applyAlignment="1">
      <alignment horizontal="right"/>
    </xf>
    <xf numFmtId="10" fontId="8" fillId="0" borderId="15" xfId="0" applyNumberFormat="1" applyFont="1" applyBorder="1" applyAlignment="1">
      <alignment horizontal="center"/>
    </xf>
    <xf numFmtId="10" fontId="8" fillId="2" borderId="9" xfId="0" applyNumberFormat="1" applyFont="1" applyFill="1" applyBorder="1" applyAlignment="1">
      <alignment horizontal="right"/>
    </xf>
    <xf numFmtId="0" fontId="7" fillId="0" borderId="9" xfId="0" applyFont="1" applyBorder="1"/>
    <xf numFmtId="3" fontId="2" fillId="15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15" fillId="0" borderId="9" xfId="0" applyNumberFormat="1" applyFont="1" applyBorder="1" applyAlignment="1">
      <alignment horizontal="right"/>
    </xf>
    <xf numFmtId="4" fontId="5" fillId="0" borderId="9" xfId="0" quotePrefix="1" applyNumberFormat="1" applyFont="1" applyBorder="1" applyAlignment="1">
      <alignment horizontal="right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3" xfId="0" applyNumberFormat="1" applyFont="1" applyFill="1" applyBorder="1" applyAlignment="1">
      <alignment horizontal="center"/>
    </xf>
    <xf numFmtId="10" fontId="2" fillId="8" borderId="24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19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0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4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176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2" xfId="0" applyNumberFormat="1" applyFont="1" applyFill="1" applyBorder="1" applyAlignment="1">
      <alignment horizontal="center"/>
    </xf>
    <xf numFmtId="10" fontId="2" fillId="16" borderId="21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0" fontId="15" fillId="21" borderId="9" xfId="0" applyFont="1" applyFill="1" applyBorder="1" applyAlignment="1">
      <alignment horizontal="center"/>
    </xf>
    <xf numFmtId="0" fontId="36" fillId="0" borderId="9" xfId="0" applyFont="1" applyBorder="1" applyAlignment="1">
      <alignment horizontal="right"/>
    </xf>
    <xf numFmtId="3" fontId="37" fillId="8" borderId="9" xfId="0" applyNumberFormat="1" applyFont="1" applyFill="1" applyBorder="1" applyAlignment="1">
      <alignment horizontal="right"/>
    </xf>
    <xf numFmtId="38" fontId="37" fillId="8" borderId="9" xfId="0" applyNumberFormat="1" applyFont="1" applyFill="1" applyBorder="1" applyAlignment="1">
      <alignment horizontal="right"/>
    </xf>
    <xf numFmtId="0" fontId="29" fillId="0" borderId="9" xfId="0" applyFont="1" applyBorder="1" applyAlignment="1">
      <alignment horizontal="center"/>
    </xf>
    <xf numFmtId="3" fontId="7" fillId="23" borderId="12" xfId="0" applyNumberFormat="1" applyFont="1" applyFill="1" applyBorder="1" applyAlignment="1">
      <alignment horizontal="center"/>
    </xf>
    <xf numFmtId="38" fontId="7" fillId="23" borderId="12" xfId="0" applyNumberFormat="1" applyFont="1" applyFill="1" applyBorder="1" applyAlignment="1">
      <alignment horizontal="center"/>
    </xf>
    <xf numFmtId="38" fontId="2" fillId="8" borderId="9" xfId="0" applyNumberFormat="1" applyFont="1" applyFill="1" applyBorder="1" applyAlignment="1">
      <alignment horizontal="center"/>
    </xf>
    <xf numFmtId="0" fontId="15" fillId="0" borderId="0" xfId="0" applyFont="1"/>
    <xf numFmtId="3" fontId="7" fillId="23" borderId="9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10" fontId="2" fillId="0" borderId="9" xfId="0" applyNumberFormat="1" applyFont="1" applyFill="1" applyBorder="1" applyAlignment="1">
      <alignment horizontal="center"/>
    </xf>
    <xf numFmtId="10" fontId="2" fillId="0" borderId="12" xfId="0" applyNumberFormat="1" applyFont="1" applyFill="1" applyBorder="1" applyAlignment="1">
      <alignment horizontal="center"/>
    </xf>
    <xf numFmtId="10" fontId="7" fillId="0" borderId="9" xfId="0" applyNumberFormat="1" applyFont="1" applyFill="1" applyBorder="1" applyAlignment="1">
      <alignment horizontal="center"/>
    </xf>
    <xf numFmtId="10" fontId="7" fillId="0" borderId="12" xfId="0" applyNumberFormat="1" applyFont="1" applyFill="1" applyBorder="1" applyAlignment="1">
      <alignment horizontal="center"/>
    </xf>
    <xf numFmtId="0" fontId="5" fillId="0" borderId="0" xfId="0" applyFont="1" applyFill="1"/>
    <xf numFmtId="10" fontId="5" fillId="0" borderId="0" xfId="0" applyNumberFormat="1" applyFont="1" applyAlignment="1">
      <alignment horizontal="center"/>
    </xf>
    <xf numFmtId="187" fontId="11" fillId="8" borderId="2" xfId="0" applyNumberFormat="1" applyFont="1" applyFill="1" applyBorder="1" applyAlignment="1">
      <alignment horizontal="right"/>
    </xf>
    <xf numFmtId="187" fontId="29" fillId="0" borderId="2" xfId="0" applyNumberFormat="1" applyFont="1" applyFill="1" applyBorder="1" applyAlignment="1">
      <alignment horizontal="right"/>
    </xf>
    <xf numFmtId="10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76" fontId="15" fillId="7" borderId="30" xfId="0" applyNumberFormat="1" applyFont="1" applyFill="1" applyBorder="1" applyAlignment="1">
      <alignment horizontal="center"/>
    </xf>
    <xf numFmtId="0" fontId="15" fillId="0" borderId="9" xfId="0" applyFont="1" applyFill="1" applyBorder="1"/>
    <xf numFmtId="0" fontId="15" fillId="0" borderId="11" xfId="0" applyFont="1" applyFill="1" applyBorder="1"/>
    <xf numFmtId="176" fontId="15" fillId="0" borderId="9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176" fontId="2" fillId="9" borderId="30" xfId="0" applyNumberFormat="1" applyFont="1" applyFill="1" applyBorder="1" applyAlignment="1">
      <alignment horizontal="center"/>
    </xf>
    <xf numFmtId="3" fontId="7" fillId="0" borderId="9" xfId="0" applyNumberFormat="1" applyFont="1" applyFill="1" applyBorder="1" applyAlignment="1">
      <alignment horizontal="center"/>
    </xf>
    <xf numFmtId="3" fontId="11" fillId="8" borderId="9" xfId="0" applyNumberFormat="1" applyFont="1" applyFill="1" applyBorder="1" applyAlignment="1">
      <alignment horizontal="right"/>
    </xf>
  </cellXfs>
  <cellStyles count="6">
    <cellStyle name="Comma" xfId="1" builtinId="3"/>
    <cellStyle name="Currency 2" xfId="4" xr:uid="{D57E475E-5D8A-4E00-A8E6-9A8B524A4962}"/>
    <cellStyle name="Hyperlink" xfId="2" builtinId="8"/>
    <cellStyle name="Normal" xfId="0" builtinId="0"/>
    <cellStyle name="Normal 2" xfId="3" xr:uid="{6E8B5EC0-4175-45C1-9BCC-7476D05CBEAC}"/>
    <cellStyle name="Percent 2" xfId="5" xr:uid="{CBC32539-64A2-4336-9F96-B2D4C540D867}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1288.HK : 农业银行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280" t="s">
        <v>271</v>
      </c>
      <c r="D3" s="281"/>
      <c r="E3" s="6"/>
      <c r="G3" s="7" t="s">
        <v>2</v>
      </c>
      <c r="I3" s="289" t="s">
        <v>3</v>
      </c>
      <c r="J3" s="289"/>
    </row>
    <row r="4" spans="1:12" ht="15.75" customHeight="1">
      <c r="B4" s="5" t="s">
        <v>4</v>
      </c>
      <c r="C4" s="282" t="s">
        <v>272</v>
      </c>
      <c r="D4" s="251"/>
      <c r="E4" s="6"/>
      <c r="G4" s="5" t="s">
        <v>5</v>
      </c>
      <c r="I4" s="188">
        <v>2.88</v>
      </c>
      <c r="J4" s="189" t="s">
        <v>6</v>
      </c>
      <c r="K4" s="89"/>
    </row>
    <row r="5" spans="1:12" ht="15.75" customHeight="1">
      <c r="B5" s="5" t="s">
        <v>7</v>
      </c>
      <c r="C5" s="283">
        <v>45191</v>
      </c>
      <c r="D5" s="251"/>
      <c r="E5" s="78" t="str">
        <f ca="1">IF(C5+30&gt;=TODAY(),"Patience Premium","")</f>
        <v>Patience Premium</v>
      </c>
      <c r="G5" s="5" t="s">
        <v>8</v>
      </c>
      <c r="I5" s="250">
        <v>349983033873</v>
      </c>
      <c r="J5" s="250"/>
      <c r="K5" s="88"/>
      <c r="L5" s="51"/>
    </row>
    <row r="6" spans="1:12" ht="15.75" customHeight="1">
      <c r="B6" s="12" t="s">
        <v>145</v>
      </c>
      <c r="C6" s="186">
        <v>8</v>
      </c>
      <c r="D6" s="187" t="e">
        <f>EOMONTH(EDATE(Asset_Model!#REF!,C6),0)</f>
        <v>#REF!</v>
      </c>
      <c r="E6" s="120" t="e">
        <f>IF(Asset_Model!#REF!="FY",Asset_Model!#REF!,Income_Model!G3)</f>
        <v>#REF!</v>
      </c>
      <c r="G6" s="84" t="s">
        <v>9</v>
      </c>
      <c r="H6" s="83"/>
      <c r="I6" s="290">
        <f>I4*I5/1000000</f>
        <v>1007951.1375542399</v>
      </c>
      <c r="J6" s="290"/>
      <c r="K6" s="88"/>
    </row>
    <row r="7" spans="1:12" ht="15.75" customHeight="1">
      <c r="B7" s="85" t="s">
        <v>10</v>
      </c>
      <c r="C7" s="185" t="e">
        <f>(#REF!*Exchange_Rate)/I4</f>
        <v>#REF!</v>
      </c>
      <c r="D7" s="185" t="e">
        <f>(#REF!*Exchange_Rate)/I4</f>
        <v>#REF!</v>
      </c>
      <c r="E7" s="90"/>
      <c r="F7" s="6"/>
    </row>
    <row r="8" spans="1:12" ht="15.75" customHeight="1">
      <c r="C8" s="59"/>
      <c r="E8" s="6"/>
      <c r="G8" s="17" t="s">
        <v>11</v>
      </c>
      <c r="H8" s="82"/>
      <c r="I8" s="6"/>
      <c r="J8" s="6"/>
    </row>
    <row r="9" spans="1:12" ht="15.75" customHeight="1">
      <c r="B9" s="17" t="s">
        <v>12</v>
      </c>
      <c r="C9" s="116"/>
      <c r="D9" s="114"/>
      <c r="E9" s="5"/>
      <c r="G9" s="5" t="s">
        <v>13</v>
      </c>
      <c r="I9" s="192" t="e">
        <f>IF(#REF!&lt;=0,"NNI",I4/((#REF!*I12)/(I5/Income_Model!B3)))</f>
        <v>#REF!</v>
      </c>
      <c r="J9" s="148" t="e">
        <f>IF(I9="NNI","NNI",1/I9)</f>
        <v>#REF!</v>
      </c>
    </row>
    <row r="10" spans="1:12" ht="15.75" customHeight="1">
      <c r="B10" s="3" t="s">
        <v>154</v>
      </c>
      <c r="C10" s="115" t="s">
        <v>218</v>
      </c>
      <c r="D10" s="115">
        <v>2.8999999999999998E-2</v>
      </c>
      <c r="E10" s="5"/>
      <c r="G10" s="84" t="s">
        <v>224</v>
      </c>
      <c r="H10" s="83"/>
      <c r="I10" s="147" t="e">
        <f>I6/Asset_Model!D3</f>
        <v>#REF!</v>
      </c>
      <c r="J10" s="190" t="e">
        <f>I4/(#REF!*Income_Model!B3/Common_Shares*Exchange_Rate)</f>
        <v>#REF!</v>
      </c>
    </row>
    <row r="11" spans="1:12" ht="15.75" customHeight="1" thickBot="1">
      <c r="B11" s="117" t="s">
        <v>155</v>
      </c>
      <c r="C11" s="260">
        <f ca="1">C12-D10</f>
        <v>6.7000000000000004E-2</v>
      </c>
      <c r="D11" s="261"/>
      <c r="E11" s="13"/>
      <c r="G11" s="5" t="s">
        <v>14</v>
      </c>
      <c r="H11" s="6"/>
      <c r="I11" s="289" t="s">
        <v>237</v>
      </c>
      <c r="J11" s="289"/>
    </row>
    <row r="12" spans="1:12" ht="15.75" customHeight="1" thickTop="1">
      <c r="B12" s="118" t="s">
        <v>241</v>
      </c>
      <c r="C12" s="296">
        <f ca="1">IF(C10="CN",8%,6%)*IF($C$5+30&gt;=TODAY(),1.2,1)</f>
        <v>9.6000000000000002E-2</v>
      </c>
      <c r="D12" s="297"/>
      <c r="G12" s="84" t="s">
        <v>15</v>
      </c>
      <c r="H12" s="83"/>
      <c r="I12" s="193">
        <v>1.0820139646530151</v>
      </c>
      <c r="J12" s="194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6" t="s">
        <v>191</v>
      </c>
      <c r="D14" s="83"/>
      <c r="E14" s="149" t="e">
        <f>Val_Models!C19</f>
        <v>#REF!</v>
      </c>
      <c r="F14" s="95"/>
      <c r="G14" s="96"/>
      <c r="H14" s="126" t="s">
        <v>217</v>
      </c>
      <c r="I14" s="207">
        <v>0.25</v>
      </c>
      <c r="J14" s="83"/>
    </row>
    <row r="15" spans="1:12" ht="15.75" customHeight="1">
      <c r="A15" s="6"/>
      <c r="B15" s="102" t="str">
        <f>"(in "&amp;J4&amp;")"</f>
        <v>(in HKD)</v>
      </c>
      <c r="C15" s="198" t="s">
        <v>216</v>
      </c>
      <c r="D15" s="54" t="s">
        <v>17</v>
      </c>
      <c r="E15" s="6"/>
      <c r="F15" s="38"/>
      <c r="G15" s="6"/>
      <c r="H15" s="127" t="s">
        <v>19</v>
      </c>
      <c r="I15" s="54" t="s">
        <v>210</v>
      </c>
      <c r="J15" s="54" t="s">
        <v>18</v>
      </c>
    </row>
    <row r="16" spans="1:12" ht="15.75" customHeight="1">
      <c r="B16" s="81">
        <f>I4</f>
        <v>2.88</v>
      </c>
      <c r="C16" s="276">
        <v>0.2</v>
      </c>
      <c r="D16" s="205" t="e">
        <f>I37/B16-(1+C16)</f>
        <v>#REF!</v>
      </c>
      <c r="E16" s="270" t="s">
        <v>20</v>
      </c>
      <c r="F16" s="291"/>
      <c r="G16" s="270" t="s">
        <v>21</v>
      </c>
      <c r="H16" s="206">
        <f>B16-$F$16</f>
        <v>2.88</v>
      </c>
      <c r="I16" s="265">
        <v>0.24104229999999999</v>
      </c>
      <c r="J16" s="148">
        <f>I16/B16</f>
        <v>8.3695243055555549E-2</v>
      </c>
    </row>
    <row r="17" spans="1:10" ht="15.75" customHeight="1">
      <c r="B17" s="111" t="e">
        <f>MIN((I37+I38)/2,I37/(1+C16), IF(J20=0,E14,I37/(1+C16)))</f>
        <v>#REF!</v>
      </c>
      <c r="C17" s="277"/>
      <c r="D17" s="134" t="e">
        <f>I37/B17-(1+C16)</f>
        <v>#REF!</v>
      </c>
      <c r="E17" s="271"/>
      <c r="F17" s="292"/>
      <c r="G17" s="271"/>
      <c r="H17" s="203" t="e">
        <f>B17-$F$16</f>
        <v>#REF!</v>
      </c>
      <c r="I17" s="266"/>
      <c r="J17" s="134" t="e">
        <f>I16/B17</f>
        <v>#REF!</v>
      </c>
    </row>
    <row r="18" spans="1:10" ht="15.75" customHeight="1">
      <c r="B18" s="121">
        <f>C37</f>
        <v>1.8</v>
      </c>
      <c r="C18" s="278"/>
      <c r="D18" s="204" t="e">
        <f>I37/B18-(1+C16)</f>
        <v>#REF!</v>
      </c>
      <c r="E18" s="272"/>
      <c r="F18" s="293"/>
      <c r="G18" s="272"/>
      <c r="H18" s="95">
        <f>B18-$F$16</f>
        <v>1.8</v>
      </c>
      <c r="I18" s="267"/>
      <c r="J18" s="141">
        <f>I16/B18</f>
        <v>0.13391238888888887</v>
      </c>
    </row>
    <row r="19" spans="1:10" ht="15.75" customHeight="1">
      <c r="E19" s="6"/>
      <c r="H19" s="6"/>
    </row>
    <row r="20" spans="1:10" ht="15.75" customHeight="1">
      <c r="A20" s="4"/>
      <c r="B20" s="16" t="s">
        <v>22</v>
      </c>
      <c r="C20" s="5" t="s">
        <v>143</v>
      </c>
      <c r="D20" s="168" t="s">
        <v>240</v>
      </c>
      <c r="E20" s="104" t="s">
        <v>152</v>
      </c>
      <c r="F20" s="6"/>
      <c r="G20" s="6"/>
      <c r="H20" s="6"/>
      <c r="I20" s="6"/>
      <c r="J20" s="123">
        <f>IF(OR(D20="Cyclicals",D20="Cyclicals",D20="Cyclicals"),1,0)</f>
        <v>0</v>
      </c>
    </row>
    <row r="21" spans="1:10" ht="15.75" customHeight="1">
      <c r="A21" s="6"/>
      <c r="B21" s="19" t="s">
        <v>23</v>
      </c>
      <c r="C21" s="286" t="s">
        <v>276</v>
      </c>
      <c r="D21" s="287"/>
      <c r="E21" s="288"/>
      <c r="F21" s="288"/>
      <c r="G21" s="288"/>
      <c r="H21" s="288"/>
      <c r="I21" s="288"/>
      <c r="J21" s="288"/>
    </row>
    <row r="22" spans="1:10" ht="52.5" customHeight="1">
      <c r="A22" s="6"/>
      <c r="B22" s="19" t="s">
        <v>24</v>
      </c>
      <c r="C22" s="295"/>
      <c r="D22" s="281"/>
      <c r="E22" s="281"/>
      <c r="F22" s="281"/>
      <c r="G22" s="295"/>
      <c r="H22" s="295"/>
      <c r="I22" s="281"/>
      <c r="J22" s="281"/>
    </row>
    <row r="23" spans="1:10" ht="52.5" customHeight="1">
      <c r="A23" s="6"/>
      <c r="B23" s="129" t="s">
        <v>25</v>
      </c>
      <c r="C23" s="268"/>
      <c r="D23" s="269"/>
      <c r="E23" s="269"/>
      <c r="F23" s="269"/>
      <c r="G23" s="268"/>
      <c r="H23" s="268"/>
      <c r="I23" s="269"/>
      <c r="J23" s="269"/>
    </row>
    <row r="24" spans="1:10" ht="52.5" customHeight="1">
      <c r="A24" s="6"/>
      <c r="B24" s="19" t="s">
        <v>204</v>
      </c>
      <c r="C24" s="298"/>
      <c r="D24" s="298"/>
      <c r="E24" s="298"/>
      <c r="F24" s="298"/>
      <c r="G24" s="298"/>
      <c r="H24" s="298"/>
      <c r="I24" s="298"/>
      <c r="J24" s="298"/>
    </row>
    <row r="25" spans="1:10" ht="52.5" customHeight="1">
      <c r="A25" s="6"/>
      <c r="B25" s="129" t="s">
        <v>203</v>
      </c>
      <c r="C25" s="299"/>
      <c r="D25" s="299"/>
      <c r="E25" s="299"/>
      <c r="F25" s="299"/>
      <c r="G25" s="299"/>
      <c r="H25" s="299"/>
      <c r="I25" s="299"/>
      <c r="J25" s="29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26</v>
      </c>
      <c r="C27" s="18" t="s">
        <v>27</v>
      </c>
      <c r="D27" s="195">
        <v>660000</v>
      </c>
      <c r="E27" s="6"/>
      <c r="F27" s="5"/>
      <c r="G27" s="6"/>
      <c r="H27" s="196" t="s">
        <v>198</v>
      </c>
      <c r="I27" s="22"/>
      <c r="J27" s="53">
        <f>C16</f>
        <v>0.2</v>
      </c>
    </row>
    <row r="28" spans="1:10" ht="15.75" customHeight="1">
      <c r="B28" s="18" t="s">
        <v>28</v>
      </c>
      <c r="C28" s="284"/>
      <c r="D28" s="285"/>
      <c r="E28" s="275" t="str">
        <f>IF(C28="","","Action_Planning")</f>
        <v/>
      </c>
      <c r="F28" s="275"/>
      <c r="G28" s="275"/>
      <c r="H28" s="275"/>
      <c r="I28" s="294" t="s">
        <v>29</v>
      </c>
      <c r="J28" s="294"/>
    </row>
    <row r="29" spans="1:10" ht="15.75" customHeight="1">
      <c r="B29" s="18" t="s">
        <v>30</v>
      </c>
      <c r="C29" s="264">
        <f>C33/D27</f>
        <v>8.1818181818181818E-2</v>
      </c>
      <c r="D29" s="258"/>
      <c r="E29" s="263">
        <f>E33/D27</f>
        <v>0</v>
      </c>
      <c r="F29" s="258"/>
      <c r="G29" s="274">
        <f>G33/D27</f>
        <v>0</v>
      </c>
      <c r="H29" s="274"/>
      <c r="I29" s="273">
        <f>C29+E29+G29</f>
        <v>8.1818181818181818E-2</v>
      </c>
      <c r="J29" s="273"/>
    </row>
    <row r="30" spans="1:10" ht="15.75" customHeight="1">
      <c r="B30" s="18" t="s">
        <v>31</v>
      </c>
      <c r="C30" s="250">
        <v>30000</v>
      </c>
      <c r="D30" s="251"/>
      <c r="E30" s="250"/>
      <c r="F30" s="251"/>
      <c r="G30" s="250"/>
      <c r="H30" s="250"/>
      <c r="I30" s="279">
        <f>C30+E30+G30</f>
        <v>30000</v>
      </c>
      <c r="J30" s="279"/>
    </row>
    <row r="31" spans="1:10" ht="15.75" customHeight="1">
      <c r="B31" s="18" t="s">
        <v>32</v>
      </c>
      <c r="C31" s="252">
        <v>1.8</v>
      </c>
      <c r="D31" s="251"/>
      <c r="E31" s="252"/>
      <c r="F31" s="251"/>
      <c r="G31" s="252"/>
      <c r="H31" s="252"/>
      <c r="I31" s="262"/>
      <c r="J31" s="262"/>
    </row>
    <row r="32" spans="1:10" ht="15.75" customHeight="1">
      <c r="B32" s="18" t="s">
        <v>33</v>
      </c>
      <c r="C32" s="259">
        <f>C31*$I$5/1000000</f>
        <v>629969.46097140003</v>
      </c>
      <c r="D32" s="258"/>
      <c r="E32" s="259">
        <f>E31*$I$5/1000000</f>
        <v>0</v>
      </c>
      <c r="F32" s="258"/>
      <c r="G32" s="259">
        <f>G31*$I$5/1000000</f>
        <v>0</v>
      </c>
      <c r="H32" s="259"/>
      <c r="I32" s="262"/>
      <c r="J32" s="262"/>
    </row>
    <row r="33" spans="2:11" ht="15.75" customHeight="1">
      <c r="B33" s="2" t="s">
        <v>34</v>
      </c>
      <c r="C33" s="255">
        <f>C30*C31</f>
        <v>54000</v>
      </c>
      <c r="D33" s="256"/>
      <c r="E33" s="255">
        <f>E30*E31</f>
        <v>0</v>
      </c>
      <c r="F33" s="256"/>
      <c r="G33" s="255">
        <f>G30*G31</f>
        <v>0</v>
      </c>
      <c r="H33" s="255"/>
      <c r="I33" s="255">
        <f>C33+E33+G33</f>
        <v>54000</v>
      </c>
      <c r="J33" s="255"/>
    </row>
    <row r="34" spans="2:11" ht="15.75" customHeight="1">
      <c r="B34" s="1" t="s">
        <v>35</v>
      </c>
      <c r="C34" s="262"/>
      <c r="D34" s="305"/>
      <c r="E34" s="257">
        <f>IF(C33=0,"-",(C33+E33)/(C30+E30))</f>
        <v>1.8</v>
      </c>
      <c r="F34" s="258"/>
      <c r="G34" s="77"/>
      <c r="H34" s="77"/>
      <c r="I34" s="257">
        <f>IF(I33=0,"",I33/I30)</f>
        <v>1.8</v>
      </c>
      <c r="J34" s="257"/>
    </row>
    <row r="35" spans="2:11" ht="15.75" customHeight="1">
      <c r="B35" s="1" t="s">
        <v>36</v>
      </c>
      <c r="C35" s="306"/>
      <c r="D35" s="307"/>
      <c r="E35" s="253">
        <f>IF(E34="-","-",E34*$I$5/1000000)</f>
        <v>629969.46097140003</v>
      </c>
      <c r="F35" s="254"/>
      <c r="G35" s="197"/>
      <c r="H35" s="197"/>
      <c r="I35" s="253">
        <f>IF(I34="","",I34*$I$5/1000000)</f>
        <v>629969.46097140003</v>
      </c>
      <c r="J35" s="253"/>
    </row>
    <row r="36" spans="2:11" ht="15.75" customHeight="1"/>
    <row r="37" spans="2:11" ht="15.75" customHeight="1">
      <c r="B37" s="86" t="s">
        <v>177</v>
      </c>
      <c r="C37" s="303">
        <f>C31</f>
        <v>1.8</v>
      </c>
      <c r="D37" s="304"/>
      <c r="E37" s="78" t="e">
        <f>IF(C37&gt;B17,"Caution! &gt; Breakeven price!","")</f>
        <v>#REF!</v>
      </c>
      <c r="F37" s="6"/>
      <c r="G37" s="300" t="s">
        <v>213</v>
      </c>
      <c r="H37" s="300"/>
      <c r="I37" s="301" t="e">
        <f>Val_Models!C21</f>
        <v>#REF!</v>
      </c>
      <c r="J37" s="302"/>
    </row>
    <row r="38" spans="2:11" ht="15.75" customHeight="1">
      <c r="B38" s="86" t="s">
        <v>193</v>
      </c>
      <c r="C38" s="303">
        <f>E34</f>
        <v>1.8</v>
      </c>
      <c r="D38" s="304"/>
      <c r="E38" s="6"/>
      <c r="F38" s="6"/>
      <c r="G38" s="300" t="s">
        <v>192</v>
      </c>
      <c r="H38" s="300"/>
      <c r="I38" s="301" t="e">
        <f>Val_Models!C22</f>
        <v>#REF!</v>
      </c>
      <c r="J38" s="30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179</v>
      </c>
      <c r="C40" s="6"/>
      <c r="D40" s="6"/>
      <c r="E40" s="6"/>
      <c r="F40" s="6"/>
      <c r="G40" s="119" t="s">
        <v>68</v>
      </c>
      <c r="H40" s="83"/>
      <c r="I40" s="83"/>
      <c r="J40" s="83"/>
      <c r="K40" s="122"/>
    </row>
    <row r="41" spans="2:11" ht="15.75" customHeight="1">
      <c r="B41" s="3" t="s">
        <v>181</v>
      </c>
      <c r="C41" s="6"/>
      <c r="D41" s="6"/>
      <c r="E41" s="6"/>
      <c r="F41" s="53">
        <f>Qualitative_Analysis!E8</f>
        <v>0.52</v>
      </c>
      <c r="G41" s="76"/>
      <c r="H41" s="76"/>
      <c r="I41" s="76"/>
      <c r="J41" s="76"/>
    </row>
    <row r="42" spans="2:11" ht="15.75" customHeight="1">
      <c r="B42" s="3" t="s">
        <v>180</v>
      </c>
      <c r="C42" s="6"/>
      <c r="D42" s="6"/>
      <c r="E42" s="6"/>
      <c r="F42" s="53">
        <f>80%-(5%*IF(LEFT(D20,2)="St",3,IF(LEFT(D20,2)="Sl",2,IF(LEFT(D20,2)="Cy",6,IF(LEFT(D20,2)="Tu",7,IF(LEFT(D20,2)="Fa",8,0))))))</f>
        <v>0.8</v>
      </c>
      <c r="G42" s="76"/>
      <c r="H42" s="76"/>
      <c r="I42" s="76"/>
      <c r="J42" s="76"/>
    </row>
    <row r="43" spans="2:11" ht="15.75" customHeight="1">
      <c r="B43" s="3" t="s">
        <v>186</v>
      </c>
      <c r="C43" s="6"/>
      <c r="D43" s="6"/>
      <c r="E43" s="6"/>
      <c r="F43" s="153">
        <f>Qualitative_Analysis!E64</f>
        <v>0</v>
      </c>
      <c r="G43" s="76"/>
      <c r="H43" s="76"/>
      <c r="I43" s="76"/>
      <c r="J43" s="76"/>
    </row>
    <row r="44" spans="2:11" ht="15.75" customHeight="1">
      <c r="B44" s="3" t="s">
        <v>226</v>
      </c>
      <c r="C44" s="6"/>
      <c r="D44" s="6"/>
      <c r="E44" s="6"/>
      <c r="F44" s="153" t="e">
        <f>AVERAGE(Asset_Model!#REF!/4,1-Asset_Model!#REF!)</f>
        <v>#REF!</v>
      </c>
      <c r="G44" s="76"/>
      <c r="H44" s="76"/>
      <c r="I44" s="76"/>
      <c r="J44" s="76"/>
    </row>
    <row r="45" spans="2:11" ht="15.75" customHeight="1">
      <c r="C45" s="6"/>
      <c r="D45" s="6"/>
      <c r="E45" s="6"/>
      <c r="F45" s="6"/>
      <c r="G45" s="76"/>
      <c r="H45" s="76"/>
      <c r="I45" s="76"/>
      <c r="J45" s="76"/>
    </row>
    <row r="46" spans="2:11" ht="15.75" customHeight="1">
      <c r="C46" s="6"/>
      <c r="D46" s="6"/>
      <c r="E46" s="38" t="s">
        <v>194</v>
      </c>
      <c r="F46" s="38" t="s">
        <v>195</v>
      </c>
      <c r="G46" s="6"/>
      <c r="H46" s="6"/>
      <c r="I46" s="6"/>
      <c r="J46" s="6"/>
    </row>
    <row r="47" spans="2:11" ht="15.75" customHeight="1">
      <c r="B47" s="3" t="s">
        <v>182</v>
      </c>
      <c r="C47" s="6"/>
      <c r="D47" s="6"/>
      <c r="E47" s="153" t="e">
        <f>I37/C31-1</f>
        <v>#REF!</v>
      </c>
      <c r="F47" s="153" t="e">
        <f>I37/C38-1</f>
        <v>#REF!</v>
      </c>
      <c r="G47" s="6"/>
      <c r="H47" s="6"/>
      <c r="I47" s="6"/>
      <c r="J47" s="200"/>
    </row>
    <row r="48" spans="2:11" ht="15.75" customHeight="1">
      <c r="B48" s="3" t="s">
        <v>183</v>
      </c>
      <c r="C48" s="6"/>
      <c r="D48" s="6"/>
      <c r="E48" s="153" t="e">
        <f>Val_Models!C22/C31-1</f>
        <v>#REF!</v>
      </c>
      <c r="F48" s="153" t="e">
        <f>Val_Models!C22/C38-1</f>
        <v>#REF!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185</v>
      </c>
      <c r="C50" s="6"/>
      <c r="D50" s="6"/>
      <c r="E50" s="53" t="e">
        <f>IF(E47&lt;=0,0,AVERAGE(F41:F44,0.5*(1+E47+E48-C16)))</f>
        <v>#REF!</v>
      </c>
      <c r="F50" s="153" t="e">
        <f>IF(F47&lt;=0,0,AVERAGE(F41:F44,0.5*(1+F47+F48-C16)))</f>
        <v>#REF!</v>
      </c>
      <c r="G50" s="76"/>
      <c r="H50" s="6"/>
      <c r="I50" s="6"/>
      <c r="J50" s="6"/>
    </row>
    <row r="51" spans="2:10" ht="15.75" customHeight="1">
      <c r="B51" s="3" t="s">
        <v>184</v>
      </c>
      <c r="C51" s="6"/>
      <c r="D51" s="65"/>
      <c r="E51" s="201" t="e">
        <f>IF(E48&gt;=0,100,E47/ABS(E48))</f>
        <v>#REF!</v>
      </c>
      <c r="F51" s="201" t="e">
        <f>IF(F48&gt;=0,100,F47/ABS(F48))</f>
        <v>#REF!</v>
      </c>
      <c r="G51" s="76"/>
      <c r="H51" s="6"/>
      <c r="I51" s="6"/>
      <c r="J51" s="6"/>
    </row>
    <row r="52" spans="2:10" ht="15.75" customHeight="1">
      <c r="B52" s="3" t="s">
        <v>196</v>
      </c>
      <c r="C52" s="6"/>
      <c r="D52" s="6"/>
      <c r="E52" s="199" t="e">
        <f>MAX(C16*2.5/E47,1)+IF(E47&lt;C16,100,0)+IF(J20=1,2/(1+E47+E48-C16),0)</f>
        <v>#REF!</v>
      </c>
      <c r="F52" s="199" t="e">
        <f>MAX(C16*2.5/F47,1)+IF(F47&lt;C16,100,0)+IF(D18&lt;0,100,0)+IF(J20=1,2/(1+F47+F48-C16),0)</f>
        <v>#REF!</v>
      </c>
      <c r="G52" s="152"/>
      <c r="H52" s="202"/>
      <c r="I52" s="202"/>
      <c r="J52" s="6"/>
    </row>
    <row r="53" spans="2:10" ht="15.75" customHeight="1">
      <c r="B53" s="3" t="s">
        <v>197</v>
      </c>
      <c r="C53" s="6"/>
      <c r="D53" s="6"/>
      <c r="E53" s="184" t="e">
        <f>MIN(MAX(E50-ABS((1-E50)/E51),0)/E52,H53)</f>
        <v>#REF!</v>
      </c>
      <c r="F53" s="184" t="e">
        <f>MIN(MAX(F50-ABS((1-F50)/F51),0)/F52,H53)</f>
        <v>#REF!</v>
      </c>
      <c r="G53" s="152" t="s">
        <v>187</v>
      </c>
      <c r="H53" s="153">
        <v>0.4</v>
      </c>
      <c r="I53" s="6"/>
      <c r="J53" s="6"/>
    </row>
    <row r="54" spans="2:10" ht="15.75" customHeight="1"/>
    <row r="55" spans="2:10" ht="15.75" customHeight="1">
      <c r="B55" s="17" t="s">
        <v>188</v>
      </c>
    </row>
    <row r="56" spans="2:10" ht="15.75" customHeight="1">
      <c r="B56" s="128" t="s">
        <v>189</v>
      </c>
    </row>
    <row r="57" spans="2:10" ht="15.75" customHeight="1">
      <c r="B57" s="3" t="s">
        <v>200</v>
      </c>
    </row>
    <row r="58" spans="2:10" ht="15.75" customHeight="1">
      <c r="B58" s="3" t="s">
        <v>199</v>
      </c>
    </row>
    <row r="59" spans="2:10" ht="15.75" customHeight="1"/>
    <row r="60" spans="2:10" ht="15.75" customHeight="1">
      <c r="B60" s="128" t="s">
        <v>190</v>
      </c>
    </row>
    <row r="61" spans="2:10" ht="15.75" customHeight="1">
      <c r="B61" s="3" t="s">
        <v>201</v>
      </c>
    </row>
    <row r="62" spans="2:10" ht="15.75" customHeight="1">
      <c r="B62" s="3" t="s">
        <v>202</v>
      </c>
    </row>
    <row r="63" spans="2:10" ht="15.75" customHeight="1"/>
    <row r="64" spans="2:10" ht="15.75" customHeight="1">
      <c r="B64" s="128" t="s">
        <v>234</v>
      </c>
    </row>
    <row r="65" spans="2:2" ht="15.75" customHeight="1">
      <c r="B65" s="3" t="s">
        <v>236</v>
      </c>
    </row>
    <row r="66" spans="2:2" ht="15.75" customHeight="1">
      <c r="B66" s="3" t="s">
        <v>235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6" priority="12" operator="lessThan">
      <formula>$B$18</formula>
    </cfRule>
  </conditionalFormatting>
  <conditionalFormatting sqref="B18">
    <cfRule type="cellIs" dxfId="1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4" priority="25" operator="lessThan">
      <formula>0</formula>
    </cfRule>
  </conditionalFormatting>
  <conditionalFormatting sqref="E14">
    <cfRule type="cellIs" dxfId="13" priority="17" operator="greaterThan">
      <formula>$B$16</formula>
    </cfRule>
  </conditionalFormatting>
  <conditionalFormatting sqref="E51:F51">
    <cfRule type="cellIs" dxfId="1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1" priority="13">
      <formula>LEN(TRIM(E28))=0</formula>
    </cfRule>
  </conditionalFormatting>
  <conditionalFormatting sqref="F16">
    <cfRule type="cellIs" dxfId="10" priority="20" operator="greaterThan">
      <formula>$B$16</formula>
    </cfRule>
  </conditionalFormatting>
  <conditionalFormatting sqref="G16">
    <cfRule type="cellIs" dxfId="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8"/>
  <sheetViews>
    <sheetView showGridLines="0" zoomScaleNormal="100" workbookViewId="0">
      <selection activeCell="B17" sqref="B17"/>
    </sheetView>
  </sheetViews>
  <sheetFormatPr defaultColWidth="12.453125" defaultRowHeight="15" customHeight="1"/>
  <cols>
    <col min="1" max="1" width="2.453125" style="3" customWidth="1"/>
    <col min="2" max="2" width="31.08984375" style="3" bestFit="1" customWidth="1"/>
    <col min="3" max="7" width="20.6328125" style="3" customWidth="1"/>
    <col min="8" max="8" width="20.90625" style="3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05" t="s">
        <v>52</v>
      </c>
      <c r="C2" s="105"/>
      <c r="D2" s="164"/>
      <c r="E2" s="6"/>
      <c r="F2" s="12"/>
      <c r="G2" s="12"/>
      <c r="H2" s="12"/>
      <c r="I2" s="6"/>
      <c r="K2" s="119" t="s">
        <v>68</v>
      </c>
    </row>
    <row r="3" spans="1:11" ht="15" customHeight="1">
      <c r="B3" s="5" t="s">
        <v>148</v>
      </c>
      <c r="C3" s="6"/>
      <c r="D3" s="169" t="e">
        <f>#REF!-#REF!</f>
        <v>#REF!</v>
      </c>
      <c r="E3" s="170" t="e">
        <f>IF((#REF!-#REF!)=D3,"", "Error!")</f>
        <v>#REF!</v>
      </c>
      <c r="F3" s="6"/>
      <c r="G3" s="6"/>
      <c r="H3" s="107" t="s">
        <v>149</v>
      </c>
      <c r="I3" s="145">
        <v>2714446</v>
      </c>
      <c r="K3" s="43"/>
    </row>
    <row r="4" spans="1:11" ht="15" customHeight="1">
      <c r="B4" s="5" t="s">
        <v>136</v>
      </c>
      <c r="C4" s="6"/>
      <c r="D4" s="165" t="e">
        <f>D3-I3</f>
        <v>#REF!</v>
      </c>
      <c r="E4" s="87"/>
      <c r="F4" s="6"/>
      <c r="G4" s="6"/>
      <c r="H4" s="38" t="s">
        <v>53</v>
      </c>
      <c r="I4" s="130">
        <f>(I3*Dashboard!I12*Income_Model!B3)/Dashboard!I5</f>
        <v>8.3920310244590492</v>
      </c>
      <c r="K4" s="43"/>
    </row>
    <row r="5" spans="1:11" ht="15" customHeight="1">
      <c r="B5" s="5"/>
      <c r="C5" s="6"/>
      <c r="D5" s="165"/>
      <c r="E5" s="87"/>
      <c r="F5" s="6"/>
      <c r="G5" s="6"/>
      <c r="H5" s="38"/>
      <c r="I5" s="130"/>
      <c r="K5" s="43"/>
    </row>
    <row r="6" spans="1:11" ht="15" customHeight="1">
      <c r="A6" s="323"/>
      <c r="B6" s="55" t="s">
        <v>310</v>
      </c>
      <c r="C6" s="55"/>
      <c r="D6" s="55"/>
      <c r="E6" s="55"/>
      <c r="F6" s="238">
        <f>IF(J7="",IF(I7="",1,2),3)</f>
        <v>1</v>
      </c>
      <c r="G6" s="110" t="s">
        <v>151</v>
      </c>
      <c r="H6" s="333"/>
      <c r="I6" s="333"/>
      <c r="J6" s="333"/>
      <c r="K6" s="43"/>
    </row>
    <row r="7" spans="1:11" ht="15" customHeight="1">
      <c r="B7" s="325">
        <v>1000000</v>
      </c>
      <c r="C7" s="329">
        <f>EOMONTH(EDATE(D7,-12),0)</f>
        <v>43465</v>
      </c>
      <c r="D7" s="329">
        <f>EOMONTH(EDATE(E7,-12),0)</f>
        <v>43830</v>
      </c>
      <c r="E7" s="329">
        <f>EOMONTH(EDATE(F7,-12),0)</f>
        <v>44196</v>
      </c>
      <c r="F7" s="329">
        <f>EOMONTH(EDATE(G7,-12),0)</f>
        <v>44561</v>
      </c>
      <c r="G7" s="334">
        <v>44926</v>
      </c>
      <c r="H7" s="332"/>
      <c r="I7" s="332"/>
      <c r="J7" s="332"/>
      <c r="K7" s="43"/>
    </row>
    <row r="8" spans="1:11" ht="15" customHeight="1">
      <c r="B8" s="18" t="s">
        <v>311</v>
      </c>
      <c r="C8" s="143">
        <v>22608452</v>
      </c>
      <c r="D8" s="143">
        <v>24877491</v>
      </c>
      <c r="E8" s="143">
        <v>27205047</v>
      </c>
      <c r="F8" s="143">
        <v>29069155</v>
      </c>
      <c r="G8" s="143">
        <v>33927533</v>
      </c>
      <c r="H8" s="38"/>
      <c r="I8" s="130"/>
      <c r="K8" s="43"/>
    </row>
    <row r="9" spans="1:11" ht="15" customHeight="1">
      <c r="B9" s="18" t="s">
        <v>318</v>
      </c>
      <c r="C9" s="143">
        <v>11940322</v>
      </c>
      <c r="D9" s="143">
        <v>13360342</v>
      </c>
      <c r="E9" s="143">
        <v>15170442</v>
      </c>
      <c r="F9" s="143">
        <v>17175073</v>
      </c>
      <c r="G9" s="143">
        <v>19765745</v>
      </c>
      <c r="H9" s="38"/>
      <c r="I9" s="130"/>
      <c r="K9" s="43"/>
    </row>
    <row r="10" spans="1:11" ht="15" customHeight="1">
      <c r="B10" s="14" t="s">
        <v>312</v>
      </c>
      <c r="C10" s="336">
        <v>6514383</v>
      </c>
      <c r="D10" s="336">
        <v>7095770</v>
      </c>
      <c r="E10" s="336">
        <v>8134487</v>
      </c>
      <c r="F10" s="336">
        <v>9168032</v>
      </c>
      <c r="G10" s="336">
        <v>10741230</v>
      </c>
      <c r="H10" s="38"/>
      <c r="I10" s="130"/>
      <c r="K10" s="43"/>
    </row>
    <row r="11" spans="1:11" ht="15" customHeight="1">
      <c r="B11" s="14" t="s">
        <v>313</v>
      </c>
      <c r="C11" s="336">
        <v>343961</v>
      </c>
      <c r="D11" s="336">
        <v>421390</v>
      </c>
      <c r="E11" s="336">
        <v>389475</v>
      </c>
      <c r="F11" s="336">
        <v>424329</v>
      </c>
      <c r="G11" s="336">
        <v>1007548</v>
      </c>
      <c r="H11" s="38"/>
      <c r="I11" s="130"/>
      <c r="K11" s="43"/>
    </row>
    <row r="12" spans="1:11" ht="15" customHeight="1">
      <c r="B12" s="14" t="s">
        <v>314</v>
      </c>
      <c r="C12" s="336">
        <v>4664852</v>
      </c>
      <c r="D12" s="336">
        <v>5391677</v>
      </c>
      <c r="E12" s="336">
        <v>6198743</v>
      </c>
      <c r="F12" s="336">
        <v>7117212</v>
      </c>
      <c r="G12" s="336">
        <v>7545282</v>
      </c>
      <c r="H12" s="38"/>
      <c r="I12" s="130"/>
      <c r="K12" s="43"/>
    </row>
    <row r="13" spans="1:11" ht="15" customHeight="1">
      <c r="B13" s="14" t="s">
        <v>315</v>
      </c>
      <c r="C13" s="336">
        <v>389410</v>
      </c>
      <c r="D13" s="336">
        <v>419913</v>
      </c>
      <c r="E13" s="336">
        <v>413416</v>
      </c>
      <c r="F13" s="336">
        <v>426179</v>
      </c>
      <c r="G13" s="336">
        <v>428661</v>
      </c>
      <c r="H13" s="38"/>
      <c r="I13" s="130"/>
      <c r="K13" s="43"/>
    </row>
    <row r="14" spans="1:11" ht="15" customHeight="1">
      <c r="B14" s="18" t="s">
        <v>316</v>
      </c>
      <c r="C14" s="143">
        <v>479143</v>
      </c>
      <c r="D14" s="143">
        <v>540578</v>
      </c>
      <c r="E14" s="143">
        <v>618009</v>
      </c>
      <c r="F14" s="143">
        <v>720570</v>
      </c>
      <c r="G14" s="143">
        <v>782859</v>
      </c>
      <c r="H14" s="38"/>
      <c r="I14" s="130"/>
      <c r="K14" s="43"/>
    </row>
    <row r="15" spans="1:11" ht="15" customHeight="1">
      <c r="B15" s="18" t="s">
        <v>317</v>
      </c>
      <c r="C15" s="335">
        <f>C9-C14</f>
        <v>11461179</v>
      </c>
      <c r="D15" s="335">
        <f t="shared" ref="D15:G15" si="0">D9-D14</f>
        <v>12819764</v>
      </c>
      <c r="E15" s="335">
        <f t="shared" si="0"/>
        <v>14552433</v>
      </c>
      <c r="F15" s="335">
        <f t="shared" si="0"/>
        <v>16454503</v>
      </c>
      <c r="G15" s="335">
        <f t="shared" si="0"/>
        <v>18982886</v>
      </c>
      <c r="H15" s="38"/>
      <c r="I15" s="130"/>
      <c r="K15" s="43"/>
    </row>
    <row r="16" spans="1:11" ht="15" customHeight="1">
      <c r="B16" s="18" t="s">
        <v>319</v>
      </c>
      <c r="C16" s="143">
        <v>6885075</v>
      </c>
      <c r="D16" s="143">
        <v>7422930</v>
      </c>
      <c r="E16" s="143">
        <v>7822659</v>
      </c>
      <c r="F16" s="143">
        <v>8230043</v>
      </c>
      <c r="G16" s="143">
        <v>9530163</v>
      </c>
      <c r="H16" s="38"/>
      <c r="I16" s="130"/>
      <c r="K16" s="43"/>
    </row>
    <row r="17" spans="2:9" ht="15" customHeight="1">
      <c r="C17" s="6"/>
      <c r="D17" s="6"/>
      <c r="E17" s="6"/>
      <c r="F17" s="6"/>
      <c r="G17" s="6"/>
      <c r="H17" s="6"/>
      <c r="I17" s="6"/>
    </row>
    <row r="18" spans="2:9" ht="15" customHeight="1">
      <c r="B18" s="316" t="s">
        <v>309</v>
      </c>
    </row>
  </sheetData>
  <phoneticPr fontId="31" type="noConversion"/>
  <dataValidations disablePrompts="1" count="1">
    <dataValidation allowBlank="1" showInputMessage="1" showErrorMessage="1" sqref="G7" xr:uid="{A500294F-5D45-44DA-B79F-BF907D2244E0}"/>
  </dataValidations>
  <pageMargins left="0.25" right="0.25" top="0.75" bottom="0.75" header="0.3" footer="0.3"/>
  <pageSetup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16E4-1E1C-4F08-8DA9-A02FEFFEF94F}">
  <sheetPr>
    <tabColor rgb="FFB6D7A8"/>
    <outlinePr summaryBelow="0" summaryRight="0"/>
    <pageSetUpPr fitToPage="1"/>
  </sheetPr>
  <dimension ref="A2:K44"/>
  <sheetViews>
    <sheetView showGridLines="0" zoomScaleNormal="100" workbookViewId="0">
      <selection activeCell="H11" sqref="H11"/>
    </sheetView>
  </sheetViews>
  <sheetFormatPr defaultColWidth="12.453125" defaultRowHeight="15" customHeight="1"/>
  <cols>
    <col min="1" max="1" width="2.453125" style="3" customWidth="1"/>
    <col min="2" max="2" width="28" style="3" customWidth="1"/>
    <col min="3" max="5" width="17.453125" style="3" customWidth="1"/>
    <col min="6" max="6" width="7.453125" style="3" customWidth="1"/>
    <col min="7" max="7" width="2" style="3" customWidth="1"/>
    <col min="8" max="8" width="20.90625" style="3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05" t="s">
        <v>52</v>
      </c>
      <c r="C2" s="105"/>
      <c r="D2" s="164"/>
      <c r="E2" s="6"/>
      <c r="F2" s="12"/>
      <c r="G2" s="12"/>
      <c r="H2" s="12"/>
      <c r="I2" s="6"/>
      <c r="K2" s="119" t="s">
        <v>68</v>
      </c>
    </row>
    <row r="3" spans="1:11" ht="15" customHeight="1">
      <c r="B3" s="5" t="s">
        <v>148</v>
      </c>
      <c r="C3" s="6"/>
      <c r="D3" s="169">
        <f>C33-I33</f>
        <v>2720706</v>
      </c>
      <c r="E3" s="170" t="str">
        <f>IF((C33-I33)=D3,"", "Error!")</f>
        <v/>
      </c>
      <c r="F3" s="6"/>
      <c r="G3" s="6"/>
      <c r="H3" s="107" t="s">
        <v>149</v>
      </c>
      <c r="I3" s="145">
        <v>2714446</v>
      </c>
      <c r="K3" s="43"/>
    </row>
    <row r="4" spans="1:11" ht="15" customHeight="1">
      <c r="B4" s="5" t="s">
        <v>136</v>
      </c>
      <c r="C4" s="6"/>
      <c r="D4" s="165">
        <f>D3-I3</f>
        <v>6260</v>
      </c>
      <c r="E4" s="87"/>
      <c r="F4" s="6"/>
      <c r="G4" s="6"/>
      <c r="H4" s="38" t="s">
        <v>53</v>
      </c>
      <c r="I4" s="130">
        <f>(I3*Dashboard!I12*Income_Model!B3)/Dashboard!I5</f>
        <v>8.3920310244590492</v>
      </c>
      <c r="K4" s="43"/>
    </row>
    <row r="5" spans="1:11" ht="15" customHeight="1">
      <c r="C5" s="6"/>
      <c r="D5" s="6"/>
      <c r="E5" s="18" t="s">
        <v>54</v>
      </c>
      <c r="I5" s="6"/>
      <c r="K5" s="43"/>
    </row>
    <row r="6" spans="1:11" ht="15" customHeight="1" thickBot="1">
      <c r="B6" s="37" t="s">
        <v>214</v>
      </c>
      <c r="C6" s="6"/>
      <c r="D6" s="172" t="e">
        <f>E33-I33-E37</f>
        <v>#REF!</v>
      </c>
      <c r="E6" s="134" t="e">
        <f>1-D6/D3</f>
        <v>#REF!</v>
      </c>
      <c r="F6" s="6"/>
      <c r="G6" s="6"/>
      <c r="H6" s="3" t="s">
        <v>261</v>
      </c>
      <c r="I6" s="163">
        <f>C33/D3</f>
        <v>13.979237374416787</v>
      </c>
      <c r="J6" s="6"/>
      <c r="K6" s="43"/>
    </row>
    <row r="7" spans="1:11" ht="15" customHeight="1" thickTop="1">
      <c r="B7" s="32" t="s">
        <v>215</v>
      </c>
      <c r="C7" s="6"/>
      <c r="D7" s="166" t="e">
        <f>MAX((D6*Exchange_Rate*Income_Model!B3)/Common_Shares, 0)</f>
        <v>#REF!</v>
      </c>
      <c r="E7" s="18" t="str">
        <f>Dashboard!J4</f>
        <v>HKD</v>
      </c>
      <c r="H7" s="3" t="s">
        <v>262</v>
      </c>
      <c r="I7" s="163">
        <f>(I28+I29)/I3</f>
        <v>12.664347715887514</v>
      </c>
      <c r="J7" s="6"/>
      <c r="K7" s="76"/>
    </row>
    <row r="8" spans="1:11" ht="15" customHeight="1">
      <c r="C8" s="6"/>
      <c r="D8" s="6"/>
      <c r="E8" s="6"/>
      <c r="H8" s="3" t="s">
        <v>267</v>
      </c>
      <c r="I8" s="243">
        <f>(I3-C32)/I33</f>
        <v>6.5130270877983829E-2</v>
      </c>
      <c r="K8" s="43"/>
    </row>
    <row r="9" spans="1:11" ht="15" customHeight="1">
      <c r="A9" s="4"/>
      <c r="B9" s="106" t="s">
        <v>144</v>
      </c>
      <c r="C9" s="83"/>
      <c r="D9" s="167">
        <v>45107</v>
      </c>
      <c r="E9" s="168" t="s">
        <v>238</v>
      </c>
      <c r="F9" s="83"/>
      <c r="G9" s="83"/>
      <c r="H9" s="83"/>
      <c r="I9" s="83"/>
      <c r="K9" s="43"/>
    </row>
    <row r="10" spans="1:11" ht="15" customHeight="1">
      <c r="B10" s="5" t="s">
        <v>55</v>
      </c>
      <c r="C10" s="232" t="s">
        <v>56</v>
      </c>
      <c r="D10" s="232" t="s">
        <v>57</v>
      </c>
      <c r="E10" s="232" t="s">
        <v>58</v>
      </c>
      <c r="F10" s="233" t="s">
        <v>141</v>
      </c>
      <c r="G10" s="6"/>
      <c r="H10" s="40" t="s">
        <v>59</v>
      </c>
      <c r="I10" s="232" t="s">
        <v>56</v>
      </c>
      <c r="K10" s="43"/>
    </row>
    <row r="11" spans="1:11" ht="15" customHeight="1">
      <c r="B11" s="5" t="s">
        <v>60</v>
      </c>
      <c r="C11" s="158">
        <v>3039971</v>
      </c>
      <c r="D11" s="159">
        <v>1</v>
      </c>
      <c r="E11" s="50">
        <f t="shared" ref="E11:E23" si="0">C11*D11</f>
        <v>3039971</v>
      </c>
      <c r="F11" s="6"/>
      <c r="G11" s="6"/>
      <c r="H11" s="5" t="s">
        <v>258</v>
      </c>
      <c r="I11" s="158">
        <f>1056559+2975929</f>
        <v>4032488</v>
      </c>
      <c r="J11" s="6"/>
      <c r="K11" s="43"/>
    </row>
    <row r="12" spans="1:11" ht="14">
      <c r="B12" s="3" t="s">
        <v>246</v>
      </c>
      <c r="C12" s="158">
        <v>935143</v>
      </c>
      <c r="D12" s="159">
        <v>0.95</v>
      </c>
      <c r="E12" s="50">
        <f t="shared" si="0"/>
        <v>888385.85</v>
      </c>
      <c r="F12" s="6"/>
      <c r="G12" s="6"/>
      <c r="H12" s="5" t="s">
        <v>259</v>
      </c>
      <c r="I12" s="158">
        <v>2001076</v>
      </c>
      <c r="J12" s="6"/>
      <c r="K12" s="43"/>
    </row>
    <row r="13" spans="1:11" ht="14">
      <c r="B13" s="5" t="s">
        <v>254</v>
      </c>
      <c r="C13" s="158">
        <v>457564</v>
      </c>
      <c r="D13" s="159">
        <v>0.8</v>
      </c>
      <c r="E13" s="50">
        <f t="shared" si="0"/>
        <v>366051.2</v>
      </c>
      <c r="F13" s="6"/>
      <c r="G13" s="6"/>
      <c r="H13" s="5" t="s">
        <v>257</v>
      </c>
      <c r="I13" s="158">
        <v>28231053</v>
      </c>
      <c r="J13" s="6"/>
      <c r="K13" s="43"/>
    </row>
    <row r="14" spans="1:11" ht="14">
      <c r="B14" s="5" t="s">
        <v>247</v>
      </c>
      <c r="C14" s="158">
        <v>109337</v>
      </c>
      <c r="D14" s="159">
        <v>1</v>
      </c>
      <c r="E14" s="50">
        <f t="shared" si="0"/>
        <v>109337</v>
      </c>
      <c r="F14" s="6"/>
      <c r="G14" s="6"/>
      <c r="H14" s="6" t="s">
        <v>260</v>
      </c>
      <c r="I14" s="158">
        <v>11680</v>
      </c>
      <c r="J14" s="6"/>
      <c r="K14" s="45"/>
    </row>
    <row r="15" spans="1:11" ht="14">
      <c r="B15" s="5" t="s">
        <v>248</v>
      </c>
      <c r="C15" s="158">
        <f>540613+1745256</f>
        <v>2285869</v>
      </c>
      <c r="D15" s="159">
        <v>0.5</v>
      </c>
      <c r="E15" s="50">
        <f t="shared" si="0"/>
        <v>1142934.5</v>
      </c>
      <c r="F15" s="6"/>
      <c r="G15" s="6"/>
      <c r="H15" s="3" t="s">
        <v>268</v>
      </c>
      <c r="I15" s="158">
        <v>56178</v>
      </c>
      <c r="J15" s="6"/>
      <c r="K15" s="46"/>
    </row>
    <row r="16" spans="1:11" ht="14">
      <c r="B16" s="5" t="s">
        <v>250</v>
      </c>
      <c r="C16" s="158">
        <v>7782325</v>
      </c>
      <c r="D16" s="159">
        <v>0.7</v>
      </c>
      <c r="E16" s="50">
        <f t="shared" si="0"/>
        <v>5447627.5</v>
      </c>
      <c r="F16" s="6"/>
      <c r="G16" s="6"/>
      <c r="H16" s="6" t="s">
        <v>249</v>
      </c>
      <c r="I16" s="158">
        <v>44213</v>
      </c>
      <c r="J16" s="6"/>
    </row>
    <row r="17" spans="2:10" ht="14">
      <c r="B17" s="3" t="s">
        <v>249</v>
      </c>
      <c r="C17" s="158">
        <v>49511</v>
      </c>
      <c r="D17" s="159">
        <v>0.5</v>
      </c>
      <c r="E17" s="50">
        <f t="shared" si="0"/>
        <v>24755.5</v>
      </c>
      <c r="F17" s="160" t="s">
        <v>142</v>
      </c>
      <c r="G17" s="57">
        <f>IF(F17="Y",0,1)</f>
        <v>0</v>
      </c>
      <c r="H17" s="5" t="s">
        <v>245</v>
      </c>
      <c r="I17" s="122">
        <f>I33-SUM(I11:I16)</f>
        <v>936001</v>
      </c>
      <c r="J17" s="6"/>
    </row>
    <row r="18" spans="2:10" ht="14">
      <c r="B18" s="5" t="s">
        <v>253</v>
      </c>
      <c r="C18" s="158">
        <v>1885228</v>
      </c>
      <c r="D18" s="159">
        <v>0.6</v>
      </c>
      <c r="E18" s="50">
        <f t="shared" si="0"/>
        <v>1131136.8</v>
      </c>
      <c r="F18" s="6"/>
      <c r="G18" s="6"/>
      <c r="H18" s="5"/>
      <c r="I18" s="91"/>
      <c r="J18" s="6"/>
    </row>
    <row r="19" spans="2:10" ht="14">
      <c r="B19" s="5" t="s">
        <v>252</v>
      </c>
      <c r="C19" s="158">
        <v>20915065</v>
      </c>
      <c r="D19" s="159">
        <v>0.7</v>
      </c>
      <c r="E19" s="50">
        <f t="shared" si="0"/>
        <v>14640545.5</v>
      </c>
      <c r="F19" s="6"/>
      <c r="G19" s="6"/>
      <c r="H19" s="6"/>
      <c r="I19" s="6"/>
    </row>
    <row r="20" spans="2:10" ht="14">
      <c r="B20" s="5" t="s">
        <v>63</v>
      </c>
      <c r="C20" s="158">
        <v>8077</v>
      </c>
      <c r="D20" s="159">
        <v>0.4</v>
      </c>
      <c r="E20" s="50">
        <f t="shared" si="0"/>
        <v>3230.8</v>
      </c>
      <c r="F20" s="6"/>
      <c r="G20" s="6"/>
      <c r="H20" s="6"/>
      <c r="I20" s="6"/>
    </row>
    <row r="21" spans="2:10" ht="14">
      <c r="B21" s="3" t="s">
        <v>61</v>
      </c>
      <c r="C21" s="158">
        <v>0</v>
      </c>
      <c r="D21" s="159">
        <v>0.75</v>
      </c>
      <c r="E21" s="50">
        <f t="shared" si="0"/>
        <v>0</v>
      </c>
      <c r="F21" s="160" t="s">
        <v>142</v>
      </c>
      <c r="G21" s="57">
        <f>IF(F21="Y",0,1)</f>
        <v>0</v>
      </c>
      <c r="H21" s="5"/>
      <c r="I21" s="91"/>
    </row>
    <row r="22" spans="2:10" ht="14">
      <c r="B22" s="5" t="s">
        <v>62</v>
      </c>
      <c r="C22" s="158">
        <v>10161</v>
      </c>
      <c r="D22" s="159">
        <v>0.4</v>
      </c>
      <c r="E22" s="50">
        <f t="shared" si="0"/>
        <v>4064.4</v>
      </c>
      <c r="F22" s="160" t="s">
        <v>142</v>
      </c>
      <c r="G22" s="57">
        <f>IF(F22="Y",0,1)</f>
        <v>0</v>
      </c>
      <c r="H22" s="5"/>
      <c r="I22" s="91"/>
    </row>
    <row r="23" spans="2:10" ht="14">
      <c r="B23" s="5" t="s">
        <v>174</v>
      </c>
      <c r="C23" s="158">
        <v>140623</v>
      </c>
      <c r="D23" s="159">
        <v>0.3</v>
      </c>
      <c r="E23" s="50">
        <f t="shared" si="0"/>
        <v>42186.9</v>
      </c>
      <c r="F23" s="6"/>
      <c r="G23" s="57"/>
      <c r="H23" s="5"/>
      <c r="I23" s="91"/>
    </row>
    <row r="24" spans="2:10" ht="14">
      <c r="B24" s="5" t="s">
        <v>251</v>
      </c>
      <c r="C24" s="158">
        <v>157477</v>
      </c>
      <c r="D24" s="159">
        <v>0.95</v>
      </c>
      <c r="E24" s="50">
        <f>C24*D24</f>
        <v>149603.15</v>
      </c>
      <c r="F24" s="6"/>
      <c r="G24" s="6"/>
      <c r="H24" s="5"/>
      <c r="I24" s="91"/>
    </row>
    <row r="25" spans="2:10" ht="14">
      <c r="B25" s="5" t="s">
        <v>64</v>
      </c>
      <c r="C25" s="158">
        <v>28282</v>
      </c>
      <c r="D25" s="159">
        <v>0</v>
      </c>
      <c r="E25" s="50">
        <f>C25*D25</f>
        <v>0</v>
      </c>
      <c r="F25" s="6"/>
      <c r="G25" s="6"/>
      <c r="H25" s="5"/>
      <c r="I25" s="91"/>
    </row>
    <row r="26" spans="2:10" ht="15" customHeight="1">
      <c r="B26" s="5" t="s">
        <v>65</v>
      </c>
      <c r="C26" s="158">
        <f>1381+227381</f>
        <v>228762</v>
      </c>
      <c r="D26" s="159">
        <v>0.2</v>
      </c>
      <c r="E26" s="50">
        <f t="shared" ref="E26" si="1">C26*D26</f>
        <v>45752.4</v>
      </c>
      <c r="F26" s="6"/>
      <c r="G26" s="6"/>
      <c r="H26" s="6"/>
      <c r="I26" s="6"/>
    </row>
    <row r="27" spans="2:10" ht="15" customHeight="1">
      <c r="C27" s="6"/>
      <c r="D27" s="6"/>
      <c r="E27" s="6"/>
      <c r="F27" s="233" t="s">
        <v>233</v>
      </c>
      <c r="G27" s="6"/>
      <c r="H27" s="6"/>
      <c r="I27" s="6"/>
    </row>
    <row r="28" spans="2:10" ht="15" customHeight="1">
      <c r="B28" s="41" t="s">
        <v>243</v>
      </c>
      <c r="C28" s="161">
        <f>SUM(C11:C13)</f>
        <v>4432678</v>
      </c>
      <c r="D28" s="162">
        <f>IF(E28=0,0,E28/C28)</f>
        <v>0.96880667849097091</v>
      </c>
      <c r="E28" s="50">
        <f>SUM(E11:E13)</f>
        <v>4294408.05</v>
      </c>
      <c r="F28" s="200">
        <f>E28/$E$33</f>
        <v>0.15884281575956424</v>
      </c>
      <c r="G28" s="6"/>
      <c r="H28" s="3" t="s">
        <v>47</v>
      </c>
      <c r="I28" s="237">
        <f>I11+I12+I13</f>
        <v>34264617</v>
      </c>
    </row>
    <row r="29" spans="2:10" ht="15" customHeight="1">
      <c r="B29" s="41" t="s">
        <v>244</v>
      </c>
      <c r="C29" s="161">
        <f>SUM(C14:C17)</f>
        <v>10227042</v>
      </c>
      <c r="D29" s="162">
        <f t="shared" ref="D29:D32" si="2">IF(E29=0,0,E29/C29)</f>
        <v>0.65753660735919539</v>
      </c>
      <c r="E29" s="50">
        <f>SUM(E14:E17)</f>
        <v>6724654.5</v>
      </c>
      <c r="F29" s="200"/>
      <c r="G29" s="6"/>
      <c r="H29" s="3" t="s">
        <v>263</v>
      </c>
      <c r="I29" s="237">
        <f>SUM(I14:I16)</f>
        <v>112071</v>
      </c>
    </row>
    <row r="30" spans="2:10" ht="15" customHeight="1">
      <c r="B30" s="41" t="s">
        <v>255</v>
      </c>
      <c r="C30" s="161">
        <f>SUM(C18:C19)</f>
        <v>22800293</v>
      </c>
      <c r="D30" s="162">
        <f t="shared" si="2"/>
        <v>0.69173156239702716</v>
      </c>
      <c r="E30" s="50">
        <f>SUM(E18:E19)</f>
        <v>15771682.300000001</v>
      </c>
      <c r="F30" s="200">
        <f>E30/$E$33</f>
        <v>0.58336757863456423</v>
      </c>
      <c r="G30" s="6"/>
      <c r="H30" s="41" t="s">
        <v>264</v>
      </c>
      <c r="I30" s="243">
        <f>(I3-C32)/I33</f>
        <v>6.5130270877983829E-2</v>
      </c>
      <c r="J30" s="3" t="str">
        <f>IF(I30&lt;4.5%,"Liquidity Problem!","")</f>
        <v/>
      </c>
    </row>
    <row r="31" spans="2:10" ht="15" customHeight="1">
      <c r="B31" s="41" t="s">
        <v>256</v>
      </c>
      <c r="C31" s="161">
        <f>SUM(C20:C23)</f>
        <v>158861</v>
      </c>
      <c r="D31" s="162">
        <f t="shared" si="2"/>
        <v>0.31148047664310313</v>
      </c>
      <c r="E31" s="50">
        <f>SUM(E20:E23)</f>
        <v>49482.100000000006</v>
      </c>
      <c r="F31" s="200"/>
      <c r="G31" s="6"/>
      <c r="H31" s="41" t="s">
        <v>269</v>
      </c>
      <c r="I31" s="243">
        <f>E28/($I$33-I17)</f>
        <v>0.12492209982532348</v>
      </c>
      <c r="J31" s="13" t="str">
        <f>IF(I31&lt;10%,"Liquidity Problem!","")</f>
        <v/>
      </c>
    </row>
    <row r="32" spans="2:10" ht="15" customHeight="1" thickBot="1">
      <c r="B32" s="240" t="s">
        <v>265</v>
      </c>
      <c r="C32" s="241">
        <f>C24+C25+C26</f>
        <v>414521</v>
      </c>
      <c r="D32" s="242">
        <f t="shared" si="2"/>
        <v>0.47128022464483099</v>
      </c>
      <c r="E32" s="239">
        <f>E24+E25+E26</f>
        <v>195355.55</v>
      </c>
      <c r="F32" s="200">
        <f>E32/$E$33</f>
        <v>7.225867983425175E-3</v>
      </c>
      <c r="G32" s="6"/>
      <c r="H32" s="41" t="s">
        <v>266</v>
      </c>
      <c r="I32" s="243">
        <f>E33/I33</f>
        <v>0.7656053182469339</v>
      </c>
      <c r="J32" s="13" t="str">
        <f>IF(OR(I32&lt;0.75,C33&lt;I33),"Liquidity Problem!","")</f>
        <v/>
      </c>
    </row>
    <row r="33" spans="2:10" ht="15" customHeight="1" thickTop="1">
      <c r="B33" s="5" t="s">
        <v>230</v>
      </c>
      <c r="C33" s="161">
        <f>SUM(C28:C32)</f>
        <v>38033395</v>
      </c>
      <c r="D33" s="134">
        <f t="shared" ref="D33" si="3">E33/C33</f>
        <v>0.71083800170876155</v>
      </c>
      <c r="E33" s="50">
        <f>SUM(E28:E32)</f>
        <v>27035582.500000004</v>
      </c>
      <c r="F33" s="6"/>
      <c r="G33" s="6"/>
      <c r="H33" s="236" t="s">
        <v>178</v>
      </c>
      <c r="I33" s="169">
        <v>35312689</v>
      </c>
      <c r="J33" s="67" t="e">
        <f>IF(J31="",1,0)+IF(J32="",1,0)+IF(#REF!="",1,0)+IF(#REF!="",1,0)</f>
        <v>#REF!</v>
      </c>
    </row>
    <row r="34" spans="2:10" ht="15" customHeight="1">
      <c r="C34" s="6"/>
      <c r="D34" s="6"/>
      <c r="E34" s="6"/>
      <c r="I34" s="6"/>
    </row>
    <row r="35" spans="2:10" ht="14">
      <c r="B35" s="17" t="s">
        <v>66</v>
      </c>
      <c r="C35" s="17"/>
      <c r="D35" s="31"/>
    </row>
    <row r="36" spans="2:10" ht="14">
      <c r="B36" s="101" t="s">
        <v>128</v>
      </c>
      <c r="C36" s="6"/>
      <c r="D36" s="232" t="e">
        <f>IF(E37=D4,"BV of the MI","P/B Approach")</f>
        <v>#REF!</v>
      </c>
      <c r="E36" s="6"/>
      <c r="F36" s="6"/>
      <c r="G36" s="6"/>
      <c r="H36" s="6"/>
      <c r="I36" s="6"/>
    </row>
    <row r="37" spans="2:10" ht="14">
      <c r="B37" s="5" t="s">
        <v>127</v>
      </c>
      <c r="C37" s="235">
        <f>D4</f>
        <v>6260</v>
      </c>
      <c r="D37" s="53" t="e">
        <f>IF(E37=0, 0,E37/C37)</f>
        <v>#REF!</v>
      </c>
      <c r="E37" s="50" t="e">
        <f>MAX(C37,C37*Dashboard!I10)</f>
        <v>#REF!</v>
      </c>
      <c r="F37" s="6"/>
      <c r="G37" s="6"/>
      <c r="H37" s="6"/>
      <c r="I37" s="92"/>
    </row>
    <row r="38" spans="2:10" ht="15" customHeight="1">
      <c r="C38" s="6"/>
      <c r="D38" s="6"/>
      <c r="E38" s="6"/>
      <c r="F38" s="6"/>
      <c r="G38" s="6"/>
      <c r="H38" s="6"/>
      <c r="I38" s="6"/>
    </row>
    <row r="39" spans="2:10" ht="14">
      <c r="B39" s="44" t="s">
        <v>275</v>
      </c>
      <c r="C39" s="5"/>
      <c r="D39" s="233" t="s">
        <v>228</v>
      </c>
      <c r="E39" s="6"/>
      <c r="F39" s="15"/>
      <c r="G39" s="15"/>
      <c r="H39" s="6"/>
      <c r="I39" s="6"/>
    </row>
    <row r="40" spans="2:10" ht="15" customHeight="1">
      <c r="B40" s="32" t="s">
        <v>140</v>
      </c>
      <c r="C40" s="171">
        <f>C15+C16+(C21*G21)+(C22*G22)</f>
        <v>10068194</v>
      </c>
      <c r="D40" s="134">
        <f>IF(E40=0,0,E40/C40)</f>
        <v>0.65459227345043214</v>
      </c>
      <c r="E40" s="92">
        <f>E15+E16+(E21*G21)+(E22*G22)</f>
        <v>6590562</v>
      </c>
      <c r="F40" s="6"/>
      <c r="G40" s="6"/>
      <c r="H40" s="6"/>
      <c r="I40" s="6"/>
    </row>
    <row r="41" spans="2:10" ht="14">
      <c r="B41" s="32" t="s">
        <v>60</v>
      </c>
      <c r="C41" s="171">
        <f>C11+C12</f>
        <v>3975114</v>
      </c>
      <c r="D41" s="53">
        <f>IF(E41=0,0,E41/C41)</f>
        <v>0.98823753230724953</v>
      </c>
      <c r="E41" s="50">
        <f>E11+E12</f>
        <v>3928356.85</v>
      </c>
      <c r="F41" s="6"/>
      <c r="G41" s="6"/>
      <c r="H41" s="6"/>
      <c r="I41" s="6"/>
    </row>
    <row r="42" spans="2:10" ht="14">
      <c r="B42" s="32" t="s">
        <v>67</v>
      </c>
      <c r="C42" s="6"/>
      <c r="D42" s="279" t="e">
        <f>((Dashboard!I6*Income_Model!B3)+E37-C40-C41)</f>
        <v>#REF!</v>
      </c>
      <c r="E42" s="279"/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316" t="s">
        <v>309</v>
      </c>
    </row>
  </sheetData>
  <mergeCells count="1">
    <mergeCell ref="D42:E42"/>
  </mergeCells>
  <dataValidations count="3">
    <dataValidation type="list" allowBlank="1" showInputMessage="1" showErrorMessage="1" sqref="E9" xr:uid="{510D43AE-9E64-407F-80FF-C55DD16A9F45}">
      <formula1>"FY, Quarter"</formula1>
    </dataValidation>
    <dataValidation type="list" allowBlank="1" showInputMessage="1" showErrorMessage="1" sqref="F17 F21:F22" xr:uid="{3F23DBCF-A4B2-4AC1-8746-42E98DCC7110}">
      <formula1>"Y,N"</formula1>
    </dataValidation>
    <dataValidation allowBlank="1" sqref="D36" xr:uid="{64CCB0CF-8A3E-4018-AF51-490E5EEB1BAB}"/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tabColor rgb="FFB6D7A8"/>
    <outlinePr summaryBelow="0" summaryRight="0"/>
  </sheetPr>
  <dimension ref="A2:M872"/>
  <sheetViews>
    <sheetView showGridLines="0" zoomScale="108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10" width="20.6328125" style="3" customWidth="1"/>
    <col min="11" max="11" width="2.453125" style="3" customWidth="1"/>
    <col min="12" max="12" width="87.453125" style="3" customWidth="1"/>
    <col min="13" max="16384" width="12.453125" style="3"/>
  </cols>
  <sheetData>
    <row r="2" spans="1:13" ht="15.5" customHeight="1">
      <c r="A2" s="4"/>
      <c r="B2" s="55" t="s">
        <v>303</v>
      </c>
      <c r="C2" s="55"/>
      <c r="D2" s="55"/>
      <c r="E2" s="55"/>
      <c r="F2" s="238">
        <f>IF(J3="",IF(I3="",1,2),3)</f>
        <v>1</v>
      </c>
      <c r="G2" s="110" t="s">
        <v>151</v>
      </c>
      <c r="H2" s="110">
        <v>1</v>
      </c>
      <c r="I2" s="110">
        <v>2</v>
      </c>
      <c r="J2" s="110">
        <v>3</v>
      </c>
      <c r="K2" s="12"/>
      <c r="L2" s="12"/>
    </row>
    <row r="3" spans="1:13" ht="15.75" customHeight="1">
      <c r="B3" s="325">
        <v>1000000</v>
      </c>
      <c r="C3" s="173">
        <f>EOMONTH(EDATE(D3,-12),0)</f>
        <v>43465</v>
      </c>
      <c r="D3" s="173">
        <f>EOMONTH(EDATE(E3,-12),0)</f>
        <v>43830</v>
      </c>
      <c r="E3" s="173">
        <f>EOMONTH(EDATE(F3,-12),0)</f>
        <v>44196</v>
      </c>
      <c r="F3" s="173">
        <f>EOMONTH(EDATE(G3,-12),0)</f>
        <v>44561</v>
      </c>
      <c r="G3" s="155">
        <v>44926</v>
      </c>
      <c r="H3" s="173">
        <f>EOMONTH(EDATE(G3,12),0)</f>
        <v>45291</v>
      </c>
      <c r="I3" s="173" t="str">
        <f>IF(I11="","",EOMONTH(EDATE(H3,12),0))</f>
        <v/>
      </c>
      <c r="J3" s="173" t="str">
        <f>IF(J11="","",EOMONTH(EDATE(I3,12),0))</f>
        <v/>
      </c>
      <c r="L3" s="42" t="s">
        <v>68</v>
      </c>
    </row>
    <row r="4" spans="1:13" ht="15.75" customHeight="1">
      <c r="B4" s="312" t="s">
        <v>292</v>
      </c>
      <c r="C4" s="313"/>
      <c r="D4" s="313"/>
      <c r="E4" s="313"/>
      <c r="F4" s="313">
        <f>F5+F6</f>
        <v>577987</v>
      </c>
      <c r="G4" s="313">
        <f>G5+G6</f>
        <v>589966</v>
      </c>
      <c r="H4" s="313"/>
      <c r="I4" s="314"/>
      <c r="J4" s="314"/>
      <c r="K4" s="6"/>
      <c r="L4" s="43"/>
      <c r="M4" s="36"/>
    </row>
    <row r="5" spans="1:13" ht="15.75" customHeight="1">
      <c r="B5" s="309" t="s">
        <v>242</v>
      </c>
      <c r="C5" s="310"/>
      <c r="D5" s="310"/>
      <c r="E5" s="310"/>
      <c r="F5" s="310">
        <v>1008014</v>
      </c>
      <c r="G5" s="310">
        <v>1108547</v>
      </c>
      <c r="H5" s="310"/>
      <c r="I5" s="311"/>
      <c r="J5" s="311"/>
      <c r="K5" s="6"/>
      <c r="L5" s="43"/>
      <c r="M5" s="36"/>
    </row>
    <row r="6" spans="1:13" ht="15.75" customHeight="1">
      <c r="B6" s="309" t="s">
        <v>146</v>
      </c>
      <c r="C6" s="310"/>
      <c r="D6" s="310"/>
      <c r="E6" s="310"/>
      <c r="F6" s="310">
        <v>-430027</v>
      </c>
      <c r="G6" s="310">
        <v>-518581</v>
      </c>
      <c r="H6" s="310"/>
      <c r="I6" s="311"/>
      <c r="J6" s="311"/>
      <c r="K6" s="6"/>
      <c r="L6" s="43"/>
      <c r="M6" s="36"/>
    </row>
    <row r="7" spans="1:13" ht="15.75" customHeight="1">
      <c r="B7" s="312" t="s">
        <v>293</v>
      </c>
      <c r="C7" s="143"/>
      <c r="D7" s="143"/>
      <c r="E7" s="143"/>
      <c r="F7" s="143">
        <v>80329</v>
      </c>
      <c r="G7" s="143">
        <v>81282</v>
      </c>
      <c r="H7" s="143"/>
      <c r="I7" s="315"/>
      <c r="J7" s="315"/>
      <c r="K7" s="6"/>
      <c r="L7" s="43"/>
      <c r="M7" s="36"/>
    </row>
    <row r="8" spans="1:13" ht="15.75" customHeight="1">
      <c r="B8" s="312" t="s">
        <v>294</v>
      </c>
      <c r="C8" s="143"/>
      <c r="D8" s="143"/>
      <c r="E8" s="143"/>
      <c r="F8" s="143">
        <v>29287</v>
      </c>
      <c r="G8" s="143">
        <v>11588</v>
      </c>
      <c r="H8" s="143"/>
      <c r="I8" s="315"/>
      <c r="J8" s="315"/>
      <c r="K8" s="6"/>
      <c r="L8" s="43"/>
      <c r="M8" s="36"/>
    </row>
    <row r="9" spans="1:13" ht="15.75" customHeight="1">
      <c r="B9" s="312" t="s">
        <v>295</v>
      </c>
      <c r="C9" s="143"/>
      <c r="D9" s="143"/>
      <c r="E9" s="143"/>
      <c r="F9" s="143">
        <v>34143</v>
      </c>
      <c r="G9" s="143">
        <v>42663</v>
      </c>
      <c r="H9" s="143"/>
      <c r="I9" s="315"/>
      <c r="J9" s="315"/>
      <c r="K9" s="6"/>
      <c r="L9" s="43"/>
      <c r="M9" s="36"/>
    </row>
    <row r="10" spans="1:13" ht="15.75" customHeight="1">
      <c r="B10" s="5" t="str">
        <f>"Total Revenue (" &amp; Dashboard!I11 &amp;") ="</f>
        <v>Total Revenue (CNY) =</v>
      </c>
      <c r="C10" s="318"/>
      <c r="D10" s="318" t="str">
        <f t="shared" ref="D10:E10" si="0">IF(D4="","",D4+D7+D8+D9)</f>
        <v/>
      </c>
      <c r="E10" s="318" t="str">
        <f t="shared" si="0"/>
        <v/>
      </c>
      <c r="F10" s="318">
        <f>IF(F4="","",F4+F7+F8+F9)</f>
        <v>721746</v>
      </c>
      <c r="G10" s="317">
        <f>G4+G7+G8+G9</f>
        <v>725499</v>
      </c>
      <c r="H10" s="175">
        <f>G10*0.75</f>
        <v>544124.25</v>
      </c>
      <c r="I10" s="175"/>
      <c r="J10" s="176"/>
      <c r="K10" s="6"/>
      <c r="L10" s="43"/>
      <c r="M10" s="36"/>
    </row>
    <row r="11" spans="1:13" ht="15.75" customHeight="1">
      <c r="B11" s="14" t="s">
        <v>281</v>
      </c>
      <c r="C11" s="319"/>
      <c r="D11" s="319" t="str">
        <f t="shared" ref="D11:F11" si="1">IF(C10="","",D10/C10-1)</f>
        <v/>
      </c>
      <c r="E11" s="319" t="str">
        <f t="shared" si="1"/>
        <v/>
      </c>
      <c r="F11" s="319" t="str">
        <f t="shared" si="1"/>
        <v/>
      </c>
      <c r="G11" s="153">
        <f>IF(F10="","",G10/F10-1)</f>
        <v>5.1998902661047897E-3</v>
      </c>
      <c r="H11" s="134">
        <f>H10/G10-1</f>
        <v>-0.25</v>
      </c>
      <c r="I11" s="134"/>
      <c r="J11" s="159"/>
      <c r="K11" s="6"/>
      <c r="L11" s="43"/>
      <c r="M11" s="36"/>
    </row>
    <row r="12" spans="1:13" ht="15.75" customHeight="1">
      <c r="B12" s="8" t="s">
        <v>69</v>
      </c>
      <c r="C12" s="143">
        <v>213963</v>
      </c>
      <c r="D12" s="143">
        <v>224096</v>
      </c>
      <c r="E12" s="143">
        <v>229897</v>
      </c>
      <c r="F12" s="143">
        <v>260275</v>
      </c>
      <c r="G12" s="143">
        <v>274023</v>
      </c>
      <c r="H12" s="177">
        <f>H10*(1-H13)</f>
        <v>152354.79</v>
      </c>
      <c r="I12" s="178" t="str">
        <f>IF(I10="","",I10*(1-I13))</f>
        <v/>
      </c>
      <c r="J12" s="178" t="str">
        <f>IF(J10="","",J10*(1-J13))</f>
        <v/>
      </c>
      <c r="K12" s="6"/>
      <c r="L12" s="76"/>
      <c r="M12" s="1"/>
    </row>
    <row r="13" spans="1:13" ht="15.75" customHeight="1">
      <c r="B13" s="14" t="s">
        <v>297</v>
      </c>
      <c r="C13" s="322" t="str">
        <f t="shared" ref="C13:E13" si="2">IF(C10="","",(C10-C12)/C10)</f>
        <v/>
      </c>
      <c r="D13" s="322" t="str">
        <f t="shared" si="2"/>
        <v/>
      </c>
      <c r="E13" s="322" t="str">
        <f t="shared" si="2"/>
        <v/>
      </c>
      <c r="F13" s="322">
        <f>IF(F10="","",(F10-F12)/F10)</f>
        <v>0.63938144444167344</v>
      </c>
      <c r="G13" s="93">
        <f>(G10-G12)/G10</f>
        <v>0.62229720509607866</v>
      </c>
      <c r="H13" s="179">
        <v>0.72</v>
      </c>
      <c r="I13" s="179"/>
      <c r="J13" s="179"/>
      <c r="K13" s="6"/>
      <c r="L13" s="43"/>
    </row>
    <row r="14" spans="1:13" ht="15.75" customHeight="1">
      <c r="B14" s="14" t="s">
        <v>299</v>
      </c>
      <c r="C14" s="321"/>
      <c r="D14" s="321" t="str">
        <f t="shared" ref="D14:F14" si="3">IF(C15="","",D15/C15-1)</f>
        <v/>
      </c>
      <c r="E14" s="321" t="str">
        <f t="shared" si="3"/>
        <v/>
      </c>
      <c r="F14" s="321" t="str">
        <f t="shared" si="3"/>
        <v/>
      </c>
      <c r="G14" s="53">
        <f>IF(F15="","",G15/F15-1)</f>
        <v>-2.1658999157043501E-2</v>
      </c>
      <c r="H14" s="159"/>
      <c r="I14" s="159"/>
      <c r="J14" s="159"/>
      <c r="K14" s="6"/>
      <c r="L14" s="43"/>
    </row>
    <row r="15" spans="1:13" ht="15.75" customHeight="1">
      <c r="B15" s="5" t="s">
        <v>298</v>
      </c>
      <c r="C15" s="318" t="str">
        <f t="shared" ref="C15:E15" si="4">IF(C10="","",C10-C12)</f>
        <v/>
      </c>
      <c r="D15" s="318" t="str">
        <f t="shared" si="4"/>
        <v/>
      </c>
      <c r="E15" s="318" t="str">
        <f t="shared" si="4"/>
        <v/>
      </c>
      <c r="F15" s="318">
        <f>IF(F10="","",F10-F12)</f>
        <v>461471</v>
      </c>
      <c r="G15" s="50">
        <f>G10-G12</f>
        <v>451476</v>
      </c>
      <c r="H15" s="50">
        <f>H10-H12</f>
        <v>391769.45999999996</v>
      </c>
      <c r="I15" s="50" t="str">
        <f>IF(I11="","",I10-I12)</f>
        <v/>
      </c>
      <c r="J15" s="50" t="str">
        <f>IF(J11="","",J10-J12)</f>
        <v/>
      </c>
      <c r="K15" s="6"/>
      <c r="L15" s="43"/>
    </row>
    <row r="16" spans="1:13" ht="15.75" customHeight="1">
      <c r="B16" s="5" t="s">
        <v>300</v>
      </c>
      <c r="C16" s="143">
        <v>251674</v>
      </c>
      <c r="D16" s="143">
        <v>266576</v>
      </c>
      <c r="E16" s="143">
        <v>265050</v>
      </c>
      <c r="F16" s="143">
        <v>295880</v>
      </c>
      <c r="G16" s="143">
        <v>306216</v>
      </c>
      <c r="H16" s="177"/>
      <c r="I16" s="50"/>
      <c r="J16" s="50"/>
      <c r="K16" s="6"/>
      <c r="L16" s="43"/>
    </row>
    <row r="17" spans="1:12" ht="15.75" customHeight="1">
      <c r="B17" s="180" t="s">
        <v>70</v>
      </c>
      <c r="C17" s="320"/>
      <c r="D17" s="320"/>
      <c r="E17" s="320"/>
      <c r="F17" s="320"/>
      <c r="G17" s="181">
        <v>0.25</v>
      </c>
      <c r="H17" s="181">
        <v>0.25</v>
      </c>
      <c r="I17" s="148" t="str">
        <f>IF(I10="","",H17)</f>
        <v/>
      </c>
      <c r="J17" s="148" t="str">
        <f>IF(J10="","",I17)</f>
        <v/>
      </c>
      <c r="L17" s="43"/>
    </row>
    <row r="18" spans="1:12" ht="15.75" customHeight="1">
      <c r="B18" s="14" t="s">
        <v>288</v>
      </c>
      <c r="C18" s="153" t="str">
        <f t="shared" ref="C18:F18" si="5">IF(C10="","",C19/C10)</f>
        <v/>
      </c>
      <c r="D18" s="153" t="str">
        <f t="shared" si="5"/>
        <v/>
      </c>
      <c r="E18" s="153" t="str">
        <f t="shared" si="5"/>
        <v/>
      </c>
      <c r="F18" s="153">
        <f t="shared" si="5"/>
        <v>0.33416603625098024</v>
      </c>
      <c r="G18" s="153">
        <f>IF(G10="","",G19/G10)</f>
        <v>0.35718863844057674</v>
      </c>
      <c r="H18" s="134"/>
      <c r="I18" s="134" t="str">
        <f>IF(I10="","",#REF!/I10)</f>
        <v/>
      </c>
      <c r="J18" s="134" t="str">
        <f>IF(J10="","",#REF!/J10)</f>
        <v/>
      </c>
    </row>
    <row r="19" spans="1:12" ht="15.75" customHeight="1">
      <c r="B19" s="3" t="s">
        <v>301</v>
      </c>
      <c r="C19" s="143">
        <v>202783</v>
      </c>
      <c r="D19" s="143">
        <v>212098</v>
      </c>
      <c r="E19" s="143">
        <v>215925</v>
      </c>
      <c r="F19" s="143">
        <v>241183</v>
      </c>
      <c r="G19" s="143">
        <v>259140</v>
      </c>
      <c r="H19" s="177"/>
    </row>
    <row r="20" spans="1:12" ht="15.75" customHeight="1">
      <c r="B20" s="3" t="s">
        <v>270</v>
      </c>
      <c r="C20" s="324">
        <f>C21/C19</f>
        <v>0</v>
      </c>
      <c r="D20" s="324">
        <f>D21/D19</f>
        <v>0</v>
      </c>
      <c r="E20" s="324">
        <f>E21/E19</f>
        <v>0</v>
      </c>
      <c r="F20" s="324">
        <f>F21/F19</f>
        <v>0.32621287570019447</v>
      </c>
      <c r="G20" s="324">
        <f>G21/G19</f>
        <v>0.3383537855985182</v>
      </c>
    </row>
    <row r="21" spans="1:12" ht="15.75" customHeight="1">
      <c r="B21" s="3" t="s">
        <v>280</v>
      </c>
      <c r="C21" s="143"/>
      <c r="D21" s="143"/>
      <c r="E21" s="143"/>
      <c r="F21" s="143">
        <v>78677</v>
      </c>
      <c r="G21" s="143">
        <v>87681</v>
      </c>
      <c r="H21" s="177"/>
    </row>
    <row r="22" spans="1:12" ht="15.75" customHeight="1"/>
    <row r="23" spans="1:12" ht="15.75" customHeight="1">
      <c r="A23" s="323"/>
      <c r="B23" s="331" t="s">
        <v>302</v>
      </c>
      <c r="C23" s="330"/>
      <c r="D23" s="55"/>
      <c r="E23" s="55"/>
      <c r="F23" s="238">
        <f>IF(J24="",IF(I24="",1,2),3)</f>
        <v>1</v>
      </c>
      <c r="G23" s="110" t="s">
        <v>151</v>
      </c>
    </row>
    <row r="24" spans="1:12" ht="15.75" customHeight="1">
      <c r="B24" s="326">
        <f>B3</f>
        <v>1000000</v>
      </c>
      <c r="C24" s="329">
        <f>C3</f>
        <v>43465</v>
      </c>
      <c r="D24" s="329">
        <f t="shared" ref="D24:G24" si="6">D3</f>
        <v>43830</v>
      </c>
      <c r="E24" s="329">
        <f t="shared" si="6"/>
        <v>44196</v>
      </c>
      <c r="F24" s="329">
        <f t="shared" si="6"/>
        <v>44561</v>
      </c>
      <c r="G24" s="329">
        <f>G3</f>
        <v>44926</v>
      </c>
    </row>
    <row r="25" spans="1:12" ht="15.75" customHeight="1">
      <c r="B25" s="3" t="s">
        <v>305</v>
      </c>
      <c r="C25" s="327">
        <v>0.01</v>
      </c>
      <c r="D25" s="327"/>
      <c r="E25" s="327"/>
      <c r="F25" s="327"/>
      <c r="G25" s="327"/>
    </row>
    <row r="26" spans="1:12" ht="15.75" customHeight="1">
      <c r="B26" s="3" t="s">
        <v>306</v>
      </c>
      <c r="C26" s="328"/>
      <c r="D26" s="328"/>
      <c r="E26" s="328"/>
      <c r="F26" s="328"/>
      <c r="G26" s="328"/>
    </row>
    <row r="27" spans="1:12" ht="15.75" customHeight="1">
      <c r="B27" s="3" t="s">
        <v>304</v>
      </c>
      <c r="C27" s="327"/>
      <c r="D27" s="327"/>
      <c r="E27" s="327"/>
      <c r="F27" s="327"/>
      <c r="G27" s="327"/>
    </row>
    <row r="28" spans="1:12" ht="15.75" customHeight="1">
      <c r="B28" s="3" t="s">
        <v>307</v>
      </c>
      <c r="C28" s="327"/>
      <c r="D28" s="327"/>
      <c r="E28" s="327"/>
      <c r="F28" s="327"/>
      <c r="G28" s="327"/>
    </row>
    <row r="29" spans="1:12" ht="15.75" customHeight="1">
      <c r="B29" s="3" t="s">
        <v>308</v>
      </c>
      <c r="C29" s="327"/>
      <c r="D29" s="327"/>
      <c r="E29" s="327"/>
      <c r="F29" s="327"/>
      <c r="G29" s="327"/>
    </row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</sheetData>
  <phoneticPr fontId="31" type="noConversion"/>
  <conditionalFormatting sqref="H18">
    <cfRule type="containsBlanks" dxfId="8" priority="22">
      <formula>LEN(TRIM(H18))=0</formula>
    </cfRule>
  </conditionalFormatting>
  <conditionalFormatting sqref="I12:I16 J11:J16">
    <cfRule type="containsBlanks" priority="31">
      <formula>LEN(TRIM(I11))=0</formula>
    </cfRule>
  </conditionalFormatting>
  <conditionalFormatting sqref="I12:I18 J11:J18">
    <cfRule type="containsBlanks" dxfId="7" priority="30">
      <formula>LEN(TRIM(I11))=0</formula>
    </cfRule>
  </conditionalFormatting>
  <dataValidations count="1">
    <dataValidation allowBlank="1" showInputMessage="1" showErrorMessage="1" sqref="G3" xr:uid="{00000000-0002-0000-0100-000001000000}"/>
  </dataValidation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8065-B8C4-44EC-B2E3-34920DC77B79}">
  <sheetPr>
    <outlinePr summaryBelow="0" summaryRight="0"/>
  </sheetPr>
  <dimension ref="A1:N934"/>
  <sheetViews>
    <sheetView showGridLines="0" zoomScaleNormal="100" workbookViewId="0">
      <selection activeCell="D30" sqref="D3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37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38</v>
      </c>
      <c r="C3" s="155">
        <v>44926</v>
      </c>
      <c r="D3" s="6"/>
      <c r="E3" s="94">
        <v>1</v>
      </c>
      <c r="F3" s="157">
        <f t="array" ref="F3">AVERAGE(C21:INDEX(C21:M21,1,E3))</f>
        <v>259140</v>
      </c>
      <c r="G3" s="6"/>
      <c r="H3" s="5"/>
      <c r="I3" s="6"/>
      <c r="J3" s="93"/>
      <c r="K3" s="6"/>
      <c r="L3" s="6"/>
      <c r="M3" s="6"/>
    </row>
    <row r="4" spans="1:14" ht="15.75" customHeight="1">
      <c r="A4" s="9"/>
      <c r="B4" s="5" t="s">
        <v>39</v>
      </c>
      <c r="C4" s="133">
        <v>1000000</v>
      </c>
      <c r="D4" s="6"/>
      <c r="E4" s="28">
        <f>E3</f>
        <v>1</v>
      </c>
      <c r="F4" s="156" t="e">
        <f>AVERAGE(C19:INDEX(C19:M19,1,E4))</f>
        <v>#REF!</v>
      </c>
      <c r="G4" s="6"/>
      <c r="I4" s="6"/>
      <c r="J4" s="53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8">
        <f>C3</f>
        <v>44926</v>
      </c>
      <c r="D6" s="109">
        <f>EOMONTH(EDATE(C6,-12),0)</f>
        <v>44561</v>
      </c>
      <c r="E6" s="109">
        <f t="shared" ref="E6:M6" si="0">EOMONTH(EDATE(D6,-12),0)</f>
        <v>44196</v>
      </c>
      <c r="F6" s="109">
        <f t="shared" si="0"/>
        <v>43830</v>
      </c>
      <c r="G6" s="109">
        <f t="shared" si="0"/>
        <v>43465</v>
      </c>
      <c r="H6" s="109">
        <f t="shared" si="0"/>
        <v>43100</v>
      </c>
      <c r="I6" s="109">
        <f t="shared" si="0"/>
        <v>42735</v>
      </c>
      <c r="J6" s="109">
        <f t="shared" si="0"/>
        <v>42369</v>
      </c>
      <c r="K6" s="109">
        <f t="shared" si="0"/>
        <v>42004</v>
      </c>
      <c r="L6" s="109">
        <f t="shared" si="0"/>
        <v>41639</v>
      </c>
      <c r="M6" s="109">
        <f t="shared" si="0"/>
        <v>41274</v>
      </c>
    </row>
    <row r="7" spans="1:14" ht="15.75" customHeight="1">
      <c r="A7" s="9"/>
      <c r="N7" s="6"/>
    </row>
    <row r="8" spans="1:14" ht="15.75" customHeight="1">
      <c r="A8" s="9"/>
      <c r="N8" s="6"/>
    </row>
    <row r="9" spans="1:14" ht="15.75" customHeight="1">
      <c r="A9" s="9"/>
      <c r="N9" s="6"/>
    </row>
    <row r="10" spans="1:14" ht="15.75" customHeight="1">
      <c r="A10" s="9"/>
      <c r="N10" s="6"/>
    </row>
    <row r="11" spans="1:14" ht="15.75" customHeight="1">
      <c r="A11" s="9"/>
      <c r="N11" s="6"/>
    </row>
    <row r="12" spans="1:14" ht="15.75" customHeight="1">
      <c r="A12" s="9"/>
      <c r="N12" s="6"/>
    </row>
    <row r="13" spans="1:14" ht="15.75" customHeight="1">
      <c r="A13" s="9"/>
      <c r="B13" s="138" t="s">
        <v>283</v>
      </c>
      <c r="C13" s="133">
        <v>145267</v>
      </c>
      <c r="D13" s="133">
        <v>165886</v>
      </c>
      <c r="E13" s="133">
        <v>164699</v>
      </c>
      <c r="F13" s="133">
        <v>138605</v>
      </c>
      <c r="G13" s="133">
        <v>136647</v>
      </c>
      <c r="H13" s="133"/>
      <c r="I13" s="133"/>
      <c r="J13" s="133"/>
      <c r="K13" s="133"/>
      <c r="L13" s="133"/>
      <c r="M13" s="133"/>
      <c r="N13" s="6"/>
    </row>
    <row r="14" spans="1:14" ht="15.75" customHeight="1">
      <c r="A14" s="9"/>
      <c r="B14" s="138" t="s">
        <v>296</v>
      </c>
      <c r="C14" s="133">
        <v>782859</v>
      </c>
      <c r="D14" s="133">
        <v>720570</v>
      </c>
      <c r="E14" s="133">
        <v>618009</v>
      </c>
      <c r="F14" s="133">
        <v>540578</v>
      </c>
      <c r="G14" s="133">
        <v>479143</v>
      </c>
      <c r="H14" s="133"/>
      <c r="I14" s="133"/>
      <c r="J14" s="133"/>
      <c r="K14" s="133"/>
      <c r="L14" s="133"/>
      <c r="M14" s="133"/>
      <c r="N14" s="6"/>
    </row>
    <row r="15" spans="1:14" ht="15.75" customHeight="1">
      <c r="A15" s="9"/>
      <c r="B15" s="138" t="s">
        <v>40</v>
      </c>
      <c r="C15" s="134" t="e">
        <f>IF(#REF!="","",#REF!/#REF!)</f>
        <v>#REF!</v>
      </c>
      <c r="D15" s="134" t="e">
        <f>IF(#REF!="","",#REF!/#REF!)</f>
        <v>#REF!</v>
      </c>
      <c r="E15" s="134" t="e">
        <f>IF(#REF!="","",#REF!/#REF!)</f>
        <v>#REF!</v>
      </c>
      <c r="F15" s="134" t="e">
        <f>IF(#REF!="","",#REF!/#REF!)</f>
        <v>#REF!</v>
      </c>
      <c r="G15" s="134" t="e">
        <f>IF(#REF!="","",#REF!/#REF!)</f>
        <v>#REF!</v>
      </c>
      <c r="H15" s="134" t="e">
        <f>IF(#REF!="","",#REF!/#REF!)</f>
        <v>#REF!</v>
      </c>
      <c r="I15" s="134" t="e">
        <f>IF(#REF!="","",#REF!/#REF!)</f>
        <v>#REF!</v>
      </c>
      <c r="J15" s="134" t="e">
        <f>IF(#REF!="","",#REF!/#REF!)</f>
        <v>#REF!</v>
      </c>
      <c r="K15" s="134" t="e">
        <f>IF(#REF!="","",#REF!/#REF!)</f>
        <v>#REF!</v>
      </c>
      <c r="L15" s="134" t="e">
        <f>IF(#REF!="","",#REF!/#REF!)</f>
        <v>#REF!</v>
      </c>
      <c r="M15" s="134" t="e">
        <f>IF(#REF!="","",#REF!/#REF!)</f>
        <v>#REF!</v>
      </c>
      <c r="N15" s="6"/>
    </row>
    <row r="16" spans="1:14" ht="15.75" customHeight="1">
      <c r="A16" s="9"/>
      <c r="B16" s="138" t="s">
        <v>41</v>
      </c>
      <c r="C16" s="134" t="e">
        <f>IF(C17="","",C17/#REF!)</f>
        <v>#REF!</v>
      </c>
      <c r="D16" s="134" t="e">
        <f>IF(D17="","",D17/#REF!)</f>
        <v>#REF!</v>
      </c>
      <c r="E16" s="134" t="e">
        <f>IF(E17="","",E17/#REF!)</f>
        <v>#REF!</v>
      </c>
      <c r="F16" s="134" t="e">
        <f>IF(F17="","",F17/#REF!)</f>
        <v>#REF!</v>
      </c>
      <c r="G16" s="134" t="e">
        <f>IF(G17="","",G17/#REF!)</f>
        <v>#REF!</v>
      </c>
      <c r="H16" s="134" t="e">
        <f>IF(H17="","",H17/#REF!)</f>
        <v>#REF!</v>
      </c>
      <c r="I16" s="134" t="e">
        <f>IF(I17="","",I17/#REF!)</f>
        <v>#REF!</v>
      </c>
      <c r="J16" s="134" t="e">
        <f>IF(J17="","",J17/#REF!)</f>
        <v>#REF!</v>
      </c>
      <c r="K16" s="134" t="e">
        <f>IF(K17="","",K17/#REF!)</f>
        <v>#REF!</v>
      </c>
      <c r="L16" s="134" t="e">
        <f>IF(L17="","",L17/#REF!)</f>
        <v>#REF!</v>
      </c>
      <c r="M16" s="134" t="e">
        <f>IF(M17="","",M17/#REF!)</f>
        <v>#REF!</v>
      </c>
      <c r="N16" s="6"/>
    </row>
    <row r="17" spans="1:14" ht="15.75" customHeight="1">
      <c r="A17" s="9"/>
      <c r="B17" s="138" t="s">
        <v>42</v>
      </c>
      <c r="C17" s="50" t="e">
        <f>IF(#REF!="","",#REF!-#REF!-C13-C14)</f>
        <v>#REF!</v>
      </c>
      <c r="D17" s="50" t="e">
        <f>IF(#REF!="","",#REF!-#REF!-D13-D14)</f>
        <v>#REF!</v>
      </c>
      <c r="E17" s="50" t="e">
        <f>IF(#REF!="","",#REF!-#REF!-E13-E14)</f>
        <v>#REF!</v>
      </c>
      <c r="F17" s="50" t="e">
        <f>IF(#REF!="","",#REF!-#REF!-F13-F14)</f>
        <v>#REF!</v>
      </c>
      <c r="G17" s="50" t="e">
        <f>IF(#REF!="","",#REF!-#REF!-G13-G14)</f>
        <v>#REF!</v>
      </c>
      <c r="H17" s="50" t="e">
        <f>IF(#REF!="","",#REF!-#REF!-H13-H14)</f>
        <v>#REF!</v>
      </c>
      <c r="I17" s="50" t="e">
        <f>IF(#REF!="","",#REF!-#REF!-I13-I14)</f>
        <v>#REF!</v>
      </c>
      <c r="J17" s="50" t="e">
        <f>IF(#REF!="","",#REF!-#REF!-J13-J14)</f>
        <v>#REF!</v>
      </c>
      <c r="K17" s="50" t="e">
        <f>IF(#REF!="","",#REF!-#REF!-K13-K14)</f>
        <v>#REF!</v>
      </c>
      <c r="L17" s="50" t="e">
        <f>IF(#REF!="","",#REF!-#REF!-L13-L14)</f>
        <v>#REF!</v>
      </c>
      <c r="M17" s="50" t="e">
        <f>IF(#REF!="","",#REF!-#REF!-M13-M14)</f>
        <v>#REF!</v>
      </c>
      <c r="N17" s="6"/>
    </row>
    <row r="18" spans="1:14" ht="15.75" customHeight="1">
      <c r="A18" s="9"/>
      <c r="B18" s="138" t="s">
        <v>43</v>
      </c>
      <c r="C18" s="134" t="e">
        <f>IF(D17="","",IF(ABS(C17+D17)=ABS(C17)+ABS(D17),IF(C17&lt;0,-1,1)*(C17-D17)/D17,"Turn"))</f>
        <v>#REF!</v>
      </c>
      <c r="D18" s="134" t="e">
        <f t="shared" ref="D18:M18" si="1">IF(E17="","",IF(ABS(D17+E17)=ABS(D17)+ABS(E17),IF(D17&lt;0,-1,1)*(D17-E17)/E17,"Turn"))</f>
        <v>#REF!</v>
      </c>
      <c r="E18" s="134" t="e">
        <f t="shared" si="1"/>
        <v>#REF!</v>
      </c>
      <c r="F18" s="134" t="e">
        <f t="shared" si="1"/>
        <v>#REF!</v>
      </c>
      <c r="G18" s="134" t="e">
        <f t="shared" si="1"/>
        <v>#REF!</v>
      </c>
      <c r="H18" s="134" t="e">
        <f t="shared" si="1"/>
        <v>#REF!</v>
      </c>
      <c r="I18" s="134" t="e">
        <f t="shared" si="1"/>
        <v>#REF!</v>
      </c>
      <c r="J18" s="134" t="e">
        <f t="shared" si="1"/>
        <v>#REF!</v>
      </c>
      <c r="K18" s="134" t="e">
        <f t="shared" si="1"/>
        <v>#REF!</v>
      </c>
      <c r="L18" s="134" t="e">
        <f t="shared" si="1"/>
        <v>#REF!</v>
      </c>
      <c r="M18" s="134" t="str">
        <f t="shared" si="1"/>
        <v/>
      </c>
      <c r="N18" s="6"/>
    </row>
    <row r="19" spans="1:14" ht="15.75" customHeight="1">
      <c r="A19" s="9"/>
      <c r="B19" s="138" t="s">
        <v>44</v>
      </c>
      <c r="C19" s="50" t="e">
        <f>IF(C17="","",C17*(1-Income_Model!$G$17))</f>
        <v>#REF!</v>
      </c>
      <c r="D19" s="50" t="e">
        <f>IF(D17="","",D17*(1-Income_Model!$G$17))</f>
        <v>#REF!</v>
      </c>
      <c r="E19" s="50" t="e">
        <f>IF(E17="","",E17*(1-Income_Model!$G$17))</f>
        <v>#REF!</v>
      </c>
      <c r="F19" s="50" t="e">
        <f>IF(F17="","",F17*(1-Income_Model!$G$17))</f>
        <v>#REF!</v>
      </c>
      <c r="G19" s="50" t="e">
        <f>IF(G17="","",G17*(1-Income_Model!$G$17))</f>
        <v>#REF!</v>
      </c>
      <c r="H19" s="50" t="e">
        <f>IF(H17="","",H17*(1-Income_Model!$G$17))</f>
        <v>#REF!</v>
      </c>
      <c r="I19" s="50" t="e">
        <f>IF(I17="","",I17*(1-Income_Model!$G$17))</f>
        <v>#REF!</v>
      </c>
      <c r="J19" s="50" t="e">
        <f>IF(J17="","",J17*(1-Income_Model!$G$17))</f>
        <v>#REF!</v>
      </c>
      <c r="K19" s="50" t="e">
        <f>IF(K17="","",K17*(1-Income_Model!$G$17))</f>
        <v>#REF!</v>
      </c>
      <c r="L19" s="50" t="e">
        <f>IF(L17="","",L17*(1-Income_Model!$G$17))</f>
        <v>#REF!</v>
      </c>
      <c r="M19" s="50" t="e">
        <f>IF(M17="","",M17*(1-Income_Model!$G$17))</f>
        <v>#REF!</v>
      </c>
      <c r="N19" s="6"/>
    </row>
    <row r="20" spans="1:14" ht="15.75" customHeight="1">
      <c r="A20" s="9"/>
      <c r="B20" s="138" t="s">
        <v>45</v>
      </c>
      <c r="C20" s="134" t="e">
        <f>IF(#REF!="","",C19/#REF!)</f>
        <v>#REF!</v>
      </c>
      <c r="D20" s="134" t="e">
        <f>IF(#REF!="","",D19/#REF!)</f>
        <v>#REF!</v>
      </c>
      <c r="E20" s="134" t="e">
        <f>IF(#REF!="","",E19/#REF!)</f>
        <v>#REF!</v>
      </c>
      <c r="F20" s="134" t="e">
        <f>IF(#REF!="","",F19/#REF!)</f>
        <v>#REF!</v>
      </c>
      <c r="G20" s="134" t="e">
        <f>IF(#REF!="","",G19/#REF!)</f>
        <v>#REF!</v>
      </c>
      <c r="H20" s="134" t="e">
        <f>IF(#REF!="","",H19/#REF!)</f>
        <v>#REF!</v>
      </c>
      <c r="I20" s="134" t="e">
        <f>IF(#REF!="","",I19/#REF!)</f>
        <v>#REF!</v>
      </c>
      <c r="J20" s="134" t="e">
        <f>IF(#REF!="","",J19/#REF!)</f>
        <v>#REF!</v>
      </c>
      <c r="K20" s="134" t="e">
        <f>IF(#REF!="","",K19/#REF!)</f>
        <v>#REF!</v>
      </c>
      <c r="L20" s="134" t="e">
        <f>IF(#REF!="","",L19/#REF!)</f>
        <v>#REF!</v>
      </c>
      <c r="M20" s="134" t="e">
        <f>IF(#REF!="","",M19/#REF!)</f>
        <v>#REF!</v>
      </c>
      <c r="N20" s="6"/>
    </row>
    <row r="21" spans="1:14" ht="15.75" customHeight="1">
      <c r="A21" s="9"/>
      <c r="B21" s="138" t="s">
        <v>46</v>
      </c>
      <c r="C21" s="133">
        <v>259140</v>
      </c>
      <c r="D21" s="133">
        <v>241936</v>
      </c>
      <c r="E21" s="133"/>
      <c r="F21" s="133"/>
      <c r="G21" s="133"/>
      <c r="H21" s="133"/>
      <c r="I21" s="133"/>
      <c r="J21" s="133"/>
      <c r="K21" s="133"/>
      <c r="L21" s="133"/>
      <c r="M21" s="133"/>
      <c r="N21" s="6"/>
    </row>
    <row r="22" spans="1:14" ht="15.75" customHeight="1">
      <c r="A22" s="9"/>
      <c r="B22" s="138" t="s">
        <v>153</v>
      </c>
      <c r="C22" s="134">
        <f>IF(D21="","",IF(ABS(C21+D21)=ABS(C21)+ABS(D21),IF(C21&lt;0,-1,1)*(C21-D21)/D21,"Turn"))</f>
        <v>7.1109714965941401E-2</v>
      </c>
      <c r="D22" s="134" t="str">
        <f t="shared" ref="D22:M22" si="2">IF(E21="","",IF(ABS(D21+E21)=ABS(D21)+ABS(E21),IF(D21&lt;0,-1,1)*(D21-E21)/E21,"Turn"))</f>
        <v/>
      </c>
      <c r="E22" s="134" t="str">
        <f t="shared" si="2"/>
        <v/>
      </c>
      <c r="F22" s="134" t="str">
        <f t="shared" si="2"/>
        <v/>
      </c>
      <c r="G22" s="134" t="str">
        <f t="shared" si="2"/>
        <v/>
      </c>
      <c r="H22" s="134" t="str">
        <f t="shared" si="2"/>
        <v/>
      </c>
      <c r="I22" s="134" t="str">
        <f t="shared" si="2"/>
        <v/>
      </c>
      <c r="J22" s="134" t="str">
        <f t="shared" si="2"/>
        <v/>
      </c>
      <c r="K22" s="134" t="str">
        <f t="shared" si="2"/>
        <v/>
      </c>
      <c r="L22" s="134" t="str">
        <f t="shared" si="2"/>
        <v/>
      </c>
      <c r="M22" s="134" t="str">
        <f t="shared" si="2"/>
        <v/>
      </c>
      <c r="N22" s="6"/>
    </row>
    <row r="23" spans="1:14" ht="15.75" customHeight="1">
      <c r="A23" s="9"/>
      <c r="B23" s="138" t="s">
        <v>230</v>
      </c>
      <c r="C23" s="135">
        <v>33927533</v>
      </c>
      <c r="D23" s="133">
        <v>29069155</v>
      </c>
      <c r="E23" s="133"/>
      <c r="F23" s="133"/>
      <c r="G23" s="133"/>
      <c r="H23" s="133"/>
      <c r="I23" s="133"/>
      <c r="J23" s="133"/>
      <c r="K23" s="133"/>
      <c r="L23" s="133"/>
      <c r="M23" s="133"/>
      <c r="N23" s="6"/>
    </row>
    <row r="24" spans="1:14" ht="15.75" customHeight="1">
      <c r="A24" s="9"/>
      <c r="B24" s="138" t="s">
        <v>178</v>
      </c>
      <c r="C24" s="135">
        <v>31253082</v>
      </c>
      <c r="D24" s="133">
        <v>26647796</v>
      </c>
      <c r="E24" s="133"/>
      <c r="F24" s="133"/>
      <c r="G24" s="133"/>
      <c r="H24" s="133"/>
      <c r="I24" s="133"/>
      <c r="J24" s="133"/>
      <c r="K24" s="133"/>
      <c r="L24" s="133"/>
      <c r="M24" s="133"/>
      <c r="N24" s="6"/>
    </row>
    <row r="25" spans="1:14" ht="15.75" customHeight="1">
      <c r="A25" s="9"/>
      <c r="B25" s="138" t="s">
        <v>284</v>
      </c>
      <c r="C25" s="135">
        <v>25121040</v>
      </c>
      <c r="D25" s="133">
        <v>21907127</v>
      </c>
      <c r="E25" s="133">
        <v>20372901</v>
      </c>
      <c r="F25" s="133">
        <v>18849155</v>
      </c>
      <c r="G25" s="133">
        <v>17602056</v>
      </c>
      <c r="H25" s="133"/>
      <c r="I25" s="133"/>
      <c r="J25" s="133"/>
      <c r="K25" s="133"/>
      <c r="L25" s="133"/>
      <c r="M25" s="133"/>
      <c r="N25" s="6"/>
    </row>
    <row r="26" spans="1:14" ht="15.75" customHeight="1">
      <c r="A26" s="9"/>
      <c r="B26" s="138" t="s">
        <v>48</v>
      </c>
      <c r="C26" s="135">
        <v>2674451</v>
      </c>
      <c r="D26" s="133">
        <v>2421359</v>
      </c>
      <c r="E26" s="133"/>
      <c r="F26" s="133"/>
      <c r="G26" s="133"/>
      <c r="H26" s="133"/>
      <c r="I26" s="133"/>
      <c r="J26" s="133"/>
      <c r="K26" s="133"/>
      <c r="L26" s="133"/>
      <c r="M26" s="133"/>
      <c r="N26" s="6"/>
    </row>
    <row r="27" spans="1:14" ht="15.75" customHeight="1">
      <c r="A27" s="9"/>
      <c r="B27" s="139" t="s">
        <v>129</v>
      </c>
      <c r="C27" s="137">
        <v>2668412</v>
      </c>
      <c r="D27" s="136">
        <v>2414605</v>
      </c>
      <c r="E27" s="136"/>
      <c r="F27" s="136"/>
      <c r="G27" s="136"/>
      <c r="H27" s="136"/>
      <c r="I27" s="136"/>
      <c r="J27" s="136"/>
      <c r="K27" s="136"/>
      <c r="L27" s="136"/>
      <c r="M27" s="136"/>
      <c r="N27" s="6"/>
    </row>
    <row r="28" spans="1:14" ht="15.75" customHeight="1">
      <c r="A28" s="9"/>
      <c r="B28" s="140" t="s">
        <v>139</v>
      </c>
      <c r="C28" s="245">
        <v>1705633</v>
      </c>
      <c r="D28" s="246">
        <v>1124762</v>
      </c>
      <c r="E28" s="246"/>
      <c r="F28" s="246"/>
      <c r="G28" s="246"/>
      <c r="H28" s="246"/>
      <c r="I28" s="246"/>
      <c r="J28" s="246"/>
      <c r="K28" s="246"/>
      <c r="L28" s="246"/>
      <c r="M28" s="246"/>
      <c r="N28" s="6"/>
    </row>
    <row r="29" spans="1:14" ht="15.75" customHeight="1">
      <c r="A29" s="9"/>
      <c r="B29" s="30" t="s">
        <v>49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9"/>
      <c r="B30" s="142" t="s">
        <v>147</v>
      </c>
      <c r="C30" s="145">
        <v>87681</v>
      </c>
      <c r="D30" s="145">
        <v>78677</v>
      </c>
      <c r="E30" s="145"/>
      <c r="F30" s="145"/>
      <c r="G30" s="145"/>
      <c r="H30" s="145"/>
      <c r="I30" s="145"/>
      <c r="J30" s="145"/>
      <c r="K30" s="145"/>
      <c r="L30" s="145"/>
      <c r="M30" s="145"/>
      <c r="N30" s="6"/>
    </row>
    <row r="31" spans="1:14" ht="15.75" customHeight="1">
      <c r="A31" s="9"/>
      <c r="B31" s="138" t="s">
        <v>50</v>
      </c>
      <c r="C31" s="143">
        <v>0</v>
      </c>
      <c r="D31" s="143">
        <v>0</v>
      </c>
      <c r="E31" s="143"/>
      <c r="F31" s="143"/>
      <c r="G31" s="143"/>
      <c r="H31" s="143"/>
      <c r="I31" s="143"/>
      <c r="J31" s="143"/>
      <c r="K31" s="143"/>
      <c r="L31" s="143"/>
      <c r="M31" s="143"/>
      <c r="N31" s="6"/>
    </row>
    <row r="32" spans="1:14" ht="15.75" customHeight="1">
      <c r="A32" s="9"/>
      <c r="B32" s="138" t="s">
        <v>125</v>
      </c>
      <c r="C32" s="144">
        <f t="shared" ref="C32:M33" si="3">IF(C30="","",C30*$C$4/Common_Shares)</f>
        <v>0.25052928717629558</v>
      </c>
      <c r="D32" s="144">
        <f t="shared" si="3"/>
        <v>0.22480232578516904</v>
      </c>
      <c r="E32" s="144" t="str">
        <f t="shared" si="3"/>
        <v/>
      </c>
      <c r="F32" s="144" t="str">
        <f t="shared" si="3"/>
        <v/>
      </c>
      <c r="G32" s="144" t="str">
        <f t="shared" si="3"/>
        <v/>
      </c>
      <c r="H32" s="144" t="str">
        <f t="shared" si="3"/>
        <v/>
      </c>
      <c r="I32" s="144" t="str">
        <f t="shared" si="3"/>
        <v/>
      </c>
      <c r="J32" s="144" t="str">
        <f t="shared" si="3"/>
        <v/>
      </c>
      <c r="K32" s="144" t="str">
        <f t="shared" si="3"/>
        <v/>
      </c>
      <c r="L32" s="144" t="str">
        <f t="shared" si="3"/>
        <v/>
      </c>
      <c r="M32" s="144" t="str">
        <f t="shared" si="3"/>
        <v/>
      </c>
      <c r="N32" s="6"/>
    </row>
    <row r="33" spans="1:14" ht="15.75" customHeight="1">
      <c r="A33" s="9"/>
      <c r="B33" s="140" t="s">
        <v>126</v>
      </c>
      <c r="C33" s="146">
        <f t="shared" si="3"/>
        <v>0</v>
      </c>
      <c r="D33" s="146">
        <f t="shared" si="3"/>
        <v>0</v>
      </c>
      <c r="E33" s="146" t="str">
        <f t="shared" si="3"/>
        <v/>
      </c>
      <c r="F33" s="146" t="str">
        <f t="shared" si="3"/>
        <v/>
      </c>
      <c r="G33" s="146" t="str">
        <f t="shared" si="3"/>
        <v/>
      </c>
      <c r="H33" s="146" t="str">
        <f t="shared" si="3"/>
        <v/>
      </c>
      <c r="I33" s="146" t="str">
        <f t="shared" si="3"/>
        <v/>
      </c>
      <c r="J33" s="146" t="str">
        <f t="shared" si="3"/>
        <v/>
      </c>
      <c r="K33" s="146" t="str">
        <f t="shared" si="3"/>
        <v/>
      </c>
      <c r="L33" s="146" t="str">
        <f t="shared" si="3"/>
        <v/>
      </c>
      <c r="M33" s="146" t="str">
        <f t="shared" si="3"/>
        <v/>
      </c>
      <c r="N33" s="6"/>
    </row>
    <row r="34" spans="1:14" ht="15.75" customHeight="1">
      <c r="A34" s="9"/>
      <c r="B34" s="54" t="s">
        <v>51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>
      <c r="A35" s="9"/>
      <c r="B35" s="142" t="s">
        <v>229</v>
      </c>
      <c r="C35" s="148">
        <f t="shared" ref="C35:M35" si="4">IF(C27="","",(C23-C27)/C23)</f>
        <v>0.92134966017128328</v>
      </c>
      <c r="D35" s="148">
        <f t="shared" si="4"/>
        <v>0.91693583800423506</v>
      </c>
      <c r="E35" s="148" t="str">
        <f t="shared" si="4"/>
        <v/>
      </c>
      <c r="F35" s="148" t="str">
        <f t="shared" si="4"/>
        <v/>
      </c>
      <c r="G35" s="148" t="str">
        <f t="shared" si="4"/>
        <v/>
      </c>
      <c r="H35" s="148" t="str">
        <f t="shared" si="4"/>
        <v/>
      </c>
      <c r="I35" s="148" t="str">
        <f t="shared" si="4"/>
        <v/>
      </c>
      <c r="J35" s="148" t="str">
        <f t="shared" si="4"/>
        <v/>
      </c>
      <c r="K35" s="148" t="str">
        <f t="shared" si="4"/>
        <v/>
      </c>
      <c r="L35" s="148" t="str">
        <f t="shared" si="4"/>
        <v/>
      </c>
      <c r="M35" s="148" t="str">
        <f t="shared" si="4"/>
        <v/>
      </c>
      <c r="N35" s="6"/>
    </row>
    <row r="36" spans="1:14" ht="15.75" customHeight="1">
      <c r="A36" s="9"/>
      <c r="B36" s="138" t="s">
        <v>286</v>
      </c>
      <c r="C36" s="134" t="e">
        <f>IF(#REF!="","",#REF!/#REF!)</f>
        <v>#REF!</v>
      </c>
      <c r="D36" s="134" t="e">
        <f>IF(#REF!="","",#REF!/#REF!)</f>
        <v>#REF!</v>
      </c>
      <c r="E36" s="134" t="e">
        <f>IF(#REF!="","",#REF!/#REF!)</f>
        <v>#REF!</v>
      </c>
      <c r="F36" s="134" t="e">
        <f>IF(#REF!="","",#REF!/#REF!)</f>
        <v>#REF!</v>
      </c>
      <c r="G36" s="134" t="e">
        <f>IF(#REF!="","",#REF!/#REF!)</f>
        <v>#REF!</v>
      </c>
      <c r="H36" s="134" t="e">
        <f>IF(#REF!="","",#REF!/#REF!)</f>
        <v>#REF!</v>
      </c>
      <c r="I36" s="134" t="e">
        <f>IF(#REF!="","",#REF!/#REF!)</f>
        <v>#REF!</v>
      </c>
      <c r="J36" s="134" t="e">
        <f>IF(#REF!="","",#REF!/#REF!)</f>
        <v>#REF!</v>
      </c>
      <c r="K36" s="134" t="e">
        <f>IF(#REF!="","",#REF!/#REF!)</f>
        <v>#REF!</v>
      </c>
      <c r="L36" s="134" t="e">
        <f>IF(#REF!="","",#REF!/#REF!)</f>
        <v>#REF!</v>
      </c>
      <c r="M36" s="134" t="e">
        <f>IF(#REF!="","",#REF!/#REF!)</f>
        <v>#REF!</v>
      </c>
      <c r="N36" s="6"/>
    </row>
    <row r="37" spans="1:14" ht="15.75" customHeight="1">
      <c r="A37" s="9"/>
      <c r="B37" s="138" t="s">
        <v>287</v>
      </c>
      <c r="C37" s="134" t="e">
        <f>IF(#REF!="","",IF(#REF!&lt;=0,"-",#REF!/C25))</f>
        <v>#REF!</v>
      </c>
      <c r="D37" s="134" t="e">
        <f>IF(#REF!="","",IF(#REF!&lt;=0,"-",#REF!/D25))</f>
        <v>#REF!</v>
      </c>
      <c r="E37" s="134" t="e">
        <f>IF(#REF!="","",IF(#REF!&lt;=0,"-",#REF!/E25))</f>
        <v>#REF!</v>
      </c>
      <c r="F37" s="134" t="e">
        <f>IF(#REF!="","",IF(#REF!&lt;=0,"-",#REF!/F25))</f>
        <v>#REF!</v>
      </c>
      <c r="G37" s="134" t="e">
        <f>IF(#REF!="","",IF(#REF!&lt;=0,"-",#REF!/G25))</f>
        <v>#REF!</v>
      </c>
      <c r="H37" s="134" t="e">
        <f>IF(#REF!="","",IF(#REF!&lt;=0,"-",#REF!/H25))</f>
        <v>#REF!</v>
      </c>
      <c r="I37" s="134" t="e">
        <f>IF(#REF!="","",IF(#REF!&lt;=0,"-",#REF!/I25))</f>
        <v>#REF!</v>
      </c>
      <c r="J37" s="134" t="e">
        <f>IF(#REF!="","",IF(#REF!&lt;=0,"-",#REF!/J25))</f>
        <v>#REF!</v>
      </c>
      <c r="K37" s="134" t="e">
        <f>IF(#REF!="","",IF(#REF!&lt;=0,"-",#REF!/K25))</f>
        <v>#REF!</v>
      </c>
      <c r="L37" s="134" t="e">
        <f>IF(#REF!="","",IF(#REF!&lt;=0,"-",#REF!/L25))</f>
        <v>#REF!</v>
      </c>
      <c r="M37" s="134" t="e">
        <f>IF(#REF!="","",IF(#REF!&lt;=0,"-",#REF!/M25))</f>
        <v>#REF!</v>
      </c>
      <c r="N37" s="6"/>
    </row>
    <row r="38" spans="1:14" ht="15.75" customHeight="1">
      <c r="A38" s="9"/>
      <c r="B38" s="138" t="s">
        <v>288</v>
      </c>
      <c r="C38" s="134" t="e">
        <f>IF(#REF!="","",C21/#REF!)</f>
        <v>#REF!</v>
      </c>
      <c r="D38" s="134" t="e">
        <f>IF(#REF!="","",D21/#REF!)</f>
        <v>#REF!</v>
      </c>
      <c r="E38" s="134" t="e">
        <f>IF(#REF!="","",E21/#REF!)</f>
        <v>#REF!</v>
      </c>
      <c r="F38" s="134" t="e">
        <f>IF(#REF!="","",F21/#REF!)</f>
        <v>#REF!</v>
      </c>
      <c r="G38" s="134" t="e">
        <f>IF(#REF!="","",G21/#REF!)</f>
        <v>#REF!</v>
      </c>
      <c r="H38" s="134" t="e">
        <f>IF(#REF!="","",H21/#REF!)</f>
        <v>#REF!</v>
      </c>
      <c r="I38" s="134" t="e">
        <f>IF(#REF!="","",I21/#REF!)</f>
        <v>#REF!</v>
      </c>
      <c r="J38" s="134" t="e">
        <f>IF(#REF!="","",J21/#REF!)</f>
        <v>#REF!</v>
      </c>
      <c r="K38" s="134" t="e">
        <f>IF(#REF!="","",K21/#REF!)</f>
        <v>#REF!</v>
      </c>
      <c r="L38" s="134" t="e">
        <f>IF(#REF!="","",L21/#REF!)</f>
        <v>#REF!</v>
      </c>
      <c r="M38" s="134" t="e">
        <f>IF(#REF!="","",M21/#REF!)</f>
        <v>#REF!</v>
      </c>
      <c r="N38" s="6"/>
    </row>
    <row r="39" spans="1:14" ht="15.75" customHeight="1">
      <c r="A39" s="9"/>
      <c r="B39" s="140" t="s">
        <v>285</v>
      </c>
      <c r="C39" s="149">
        <f>IF(C23="","",C23/C27)</f>
        <v>12.714503232634241</v>
      </c>
      <c r="D39" s="149">
        <f>IF(D23="","",D23/D27)</f>
        <v>12.038886277465673</v>
      </c>
      <c r="E39" s="149" t="str">
        <f t="shared" ref="E39:M39" si="5">IF(E23="","",E23/E27)</f>
        <v/>
      </c>
      <c r="F39" s="149" t="str">
        <f t="shared" si="5"/>
        <v/>
      </c>
      <c r="G39" s="149" t="str">
        <f t="shared" si="5"/>
        <v/>
      </c>
      <c r="H39" s="149" t="str">
        <f t="shared" si="5"/>
        <v/>
      </c>
      <c r="I39" s="149" t="str">
        <f t="shared" si="5"/>
        <v/>
      </c>
      <c r="J39" s="149" t="str">
        <f t="shared" si="5"/>
        <v/>
      </c>
      <c r="K39" s="149" t="str">
        <f t="shared" si="5"/>
        <v/>
      </c>
      <c r="L39" s="149" t="str">
        <f t="shared" si="5"/>
        <v/>
      </c>
      <c r="M39" s="149" t="str">
        <f t="shared" si="5"/>
        <v/>
      </c>
      <c r="N39" s="6"/>
    </row>
    <row r="40" spans="1:14" ht="15.75" customHeight="1">
      <c r="A40" s="9"/>
      <c r="B40" s="131" t="s">
        <v>205</v>
      </c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6"/>
    </row>
    <row r="41" spans="1:14" ht="15.75" customHeight="1">
      <c r="A41" s="9"/>
      <c r="B41" s="142" t="s">
        <v>206</v>
      </c>
      <c r="C41" s="148" t="e">
        <f t="shared" ref="C41:M41" si="6">C16</f>
        <v>#REF!</v>
      </c>
      <c r="D41" s="148" t="e">
        <f t="shared" si="6"/>
        <v>#REF!</v>
      </c>
      <c r="E41" s="148" t="e">
        <f t="shared" si="6"/>
        <v>#REF!</v>
      </c>
      <c r="F41" s="148" t="e">
        <f t="shared" si="6"/>
        <v>#REF!</v>
      </c>
      <c r="G41" s="148" t="e">
        <f t="shared" si="6"/>
        <v>#REF!</v>
      </c>
      <c r="H41" s="148" t="e">
        <f t="shared" si="6"/>
        <v>#REF!</v>
      </c>
      <c r="I41" s="148" t="e">
        <f t="shared" si="6"/>
        <v>#REF!</v>
      </c>
      <c r="J41" s="148" t="e">
        <f t="shared" si="6"/>
        <v>#REF!</v>
      </c>
      <c r="K41" s="148" t="e">
        <f t="shared" si="6"/>
        <v>#REF!</v>
      </c>
      <c r="L41" s="148" t="e">
        <f t="shared" si="6"/>
        <v>#REF!</v>
      </c>
      <c r="M41" s="148" t="e">
        <f t="shared" si="6"/>
        <v>#REF!</v>
      </c>
      <c r="N41" s="6"/>
    </row>
    <row r="42" spans="1:14" ht="15.75" customHeight="1">
      <c r="A42" s="9"/>
      <c r="B42" s="138" t="s">
        <v>207</v>
      </c>
      <c r="C42" s="134" t="e">
        <f>#REF!/C23</f>
        <v>#REF!</v>
      </c>
      <c r="D42" s="134" t="e">
        <f>IF(#REF!="","",#REF!/D23)</f>
        <v>#REF!</v>
      </c>
      <c r="E42" s="134" t="e">
        <f>IF(#REF!="","",#REF!/E23)</f>
        <v>#REF!</v>
      </c>
      <c r="F42" s="134" t="e">
        <f>IF(#REF!="","",#REF!/F23)</f>
        <v>#REF!</v>
      </c>
      <c r="G42" s="134" t="e">
        <f>IF(#REF!="","",#REF!/G23)</f>
        <v>#REF!</v>
      </c>
      <c r="H42" s="134" t="e">
        <f>IF(#REF!="","",#REF!/H23)</f>
        <v>#REF!</v>
      </c>
      <c r="I42" s="134" t="e">
        <f>IF(#REF!="","",#REF!/I23)</f>
        <v>#REF!</v>
      </c>
      <c r="J42" s="134" t="e">
        <f>IF(#REF!="","",#REF!/J23)</f>
        <v>#REF!</v>
      </c>
      <c r="K42" s="134" t="e">
        <f>IF(#REF!="","",#REF!/K23)</f>
        <v>#REF!</v>
      </c>
      <c r="L42" s="134" t="e">
        <f>IF(#REF!="","",#REF!/L23)</f>
        <v>#REF!</v>
      </c>
      <c r="M42" s="134" t="e">
        <f>IF(#REF!="","",#REF!/M23)</f>
        <v>#REF!</v>
      </c>
      <c r="N42" s="6"/>
    </row>
    <row r="43" spans="1:14" ht="15.75" customHeight="1">
      <c r="A43" s="9"/>
      <c r="B43" s="138" t="s">
        <v>232</v>
      </c>
      <c r="C43" s="150">
        <f>C23/C26</f>
        <v>12.685793458171416</v>
      </c>
      <c r="D43" s="150">
        <f t="shared" ref="D43:M43" si="7">IF(D26="","",D23/D26)</f>
        <v>12.005305698163717</v>
      </c>
      <c r="E43" s="150" t="str">
        <f t="shared" si="7"/>
        <v/>
      </c>
      <c r="F43" s="150" t="str">
        <f t="shared" si="7"/>
        <v/>
      </c>
      <c r="G43" s="150" t="str">
        <f t="shared" si="7"/>
        <v/>
      </c>
      <c r="H43" s="150" t="str">
        <f t="shared" si="7"/>
        <v/>
      </c>
      <c r="I43" s="150" t="str">
        <f t="shared" si="7"/>
        <v/>
      </c>
      <c r="J43" s="150" t="str">
        <f t="shared" si="7"/>
        <v/>
      </c>
      <c r="K43" s="150" t="str">
        <f t="shared" si="7"/>
        <v/>
      </c>
      <c r="L43" s="150" t="str">
        <f t="shared" si="7"/>
        <v/>
      </c>
      <c r="M43" s="150" t="str">
        <f t="shared" si="7"/>
        <v/>
      </c>
      <c r="N43" s="6"/>
    </row>
    <row r="44" spans="1:14" ht="15.75" customHeight="1">
      <c r="A44" s="9"/>
      <c r="B44" s="138" t="s">
        <v>231</v>
      </c>
      <c r="C44" s="134" t="e">
        <f>C41*C42*C43</f>
        <v>#REF!</v>
      </c>
      <c r="D44" s="134" t="e">
        <f>IF(D41="","",D41*D42*D43)</f>
        <v>#REF!</v>
      </c>
      <c r="E44" s="134" t="e">
        <f t="shared" ref="E44:M44" si="8">IF(E41="","",E41*E42*E43)</f>
        <v>#REF!</v>
      </c>
      <c r="F44" s="134" t="e">
        <f t="shared" si="8"/>
        <v>#REF!</v>
      </c>
      <c r="G44" s="134" t="e">
        <f t="shared" si="8"/>
        <v>#REF!</v>
      </c>
      <c r="H44" s="134" t="e">
        <f t="shared" si="8"/>
        <v>#REF!</v>
      </c>
      <c r="I44" s="134" t="e">
        <f t="shared" si="8"/>
        <v>#REF!</v>
      </c>
      <c r="J44" s="134" t="e">
        <f t="shared" si="8"/>
        <v>#REF!</v>
      </c>
      <c r="K44" s="134" t="e">
        <f t="shared" si="8"/>
        <v>#REF!</v>
      </c>
      <c r="L44" s="134" t="e">
        <f t="shared" si="8"/>
        <v>#REF!</v>
      </c>
      <c r="M44" s="134" t="e">
        <f t="shared" si="8"/>
        <v>#REF!</v>
      </c>
      <c r="N44" s="6"/>
    </row>
    <row r="45" spans="1:14" ht="15.75" customHeight="1">
      <c r="A45" s="9"/>
      <c r="B45" s="151" t="s">
        <v>208</v>
      </c>
      <c r="C45" s="141" t="e">
        <f>((C21-C30)/C21)*C44</f>
        <v>#REF!</v>
      </c>
      <c r="D45" s="141" t="e">
        <f>IF(D44="","",((D21-D30)/D21)*D44)</f>
        <v>#REF!</v>
      </c>
      <c r="E45" s="141" t="e">
        <f t="shared" ref="E45:M45" si="9">IF(E44="","",((E21-E30)/E21)*E44)</f>
        <v>#REF!</v>
      </c>
      <c r="F45" s="141" t="e">
        <f t="shared" si="9"/>
        <v>#REF!</v>
      </c>
      <c r="G45" s="141" t="e">
        <f t="shared" si="9"/>
        <v>#REF!</v>
      </c>
      <c r="H45" s="141" t="e">
        <f t="shared" si="9"/>
        <v>#REF!</v>
      </c>
      <c r="I45" s="141" t="e">
        <f t="shared" si="9"/>
        <v>#REF!</v>
      </c>
      <c r="J45" s="141" t="e">
        <f t="shared" si="9"/>
        <v>#REF!</v>
      </c>
      <c r="K45" s="141" t="e">
        <f t="shared" si="9"/>
        <v>#REF!</v>
      </c>
      <c r="L45" s="141" t="e">
        <f t="shared" si="9"/>
        <v>#REF!</v>
      </c>
      <c r="M45" s="141" t="e">
        <f t="shared" si="9"/>
        <v>#REF!</v>
      </c>
      <c r="N45" s="6"/>
    </row>
    <row r="46" spans="1:14" ht="15.75" customHeight="1">
      <c r="A46" s="9"/>
      <c r="B46" s="107" t="s">
        <v>282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4" ht="15.75" customHeight="1">
      <c r="A47" s="9"/>
      <c r="B47" s="142" t="s">
        <v>289</v>
      </c>
      <c r="C47" s="148">
        <f>C13/C25</f>
        <v>5.7826825640976643E-3</v>
      </c>
      <c r="D47" s="148">
        <f>IF(D25="","",D13/D25)</f>
        <v>7.5722389339323223E-3</v>
      </c>
      <c r="E47" s="148">
        <f t="shared" ref="E47:M47" si="10">IF(E25="","",E13/E25)</f>
        <v>8.0842193264474213E-3</v>
      </c>
      <c r="F47" s="148">
        <f t="shared" si="10"/>
        <v>7.3533800321552876E-3</v>
      </c>
      <c r="G47" s="148">
        <f t="shared" si="10"/>
        <v>7.7631272165024356E-3</v>
      </c>
      <c r="H47" s="148" t="str">
        <f t="shared" si="10"/>
        <v/>
      </c>
      <c r="I47" s="148" t="str">
        <f t="shared" si="10"/>
        <v/>
      </c>
      <c r="J47" s="148" t="str">
        <f t="shared" si="10"/>
        <v/>
      </c>
      <c r="K47" s="148" t="str">
        <f t="shared" si="10"/>
        <v/>
      </c>
      <c r="L47" s="148" t="str">
        <f t="shared" si="10"/>
        <v/>
      </c>
      <c r="M47" s="148" t="str">
        <f t="shared" si="10"/>
        <v/>
      </c>
    </row>
    <row r="48" spans="1:14" ht="15.75" customHeight="1">
      <c r="A48" s="9"/>
      <c r="B48" s="138" t="s">
        <v>290</v>
      </c>
      <c r="C48" s="35"/>
      <c r="D48" s="35"/>
    </row>
    <row r="49" spans="1:4" ht="15.75" customHeight="1">
      <c r="A49" s="9"/>
      <c r="B49" s="138" t="s">
        <v>291</v>
      </c>
      <c r="C49" s="36"/>
      <c r="D49" s="36"/>
    </row>
    <row r="50" spans="1:4" ht="15.75" customHeight="1">
      <c r="A50" s="9"/>
      <c r="B50" s="32"/>
      <c r="C50" s="35"/>
      <c r="D50" s="35"/>
    </row>
    <row r="51" spans="1:4" ht="15.75" customHeight="1">
      <c r="A51" s="9"/>
      <c r="B51" s="32"/>
      <c r="C51" s="36"/>
      <c r="D51" s="36"/>
    </row>
    <row r="52" spans="1:4" ht="15.75" customHeight="1">
      <c r="A52" s="9"/>
    </row>
    <row r="53" spans="1:4" ht="15.75" customHeight="1">
      <c r="A53" s="9"/>
    </row>
    <row r="54" spans="1:4" ht="15.75" customHeight="1">
      <c r="A54" s="9"/>
    </row>
    <row r="55" spans="1:4" ht="15.75" customHeight="1">
      <c r="A55" s="9"/>
    </row>
    <row r="56" spans="1:4" ht="15.75" customHeight="1">
      <c r="A56" s="9"/>
    </row>
    <row r="57" spans="1:4" ht="15.75" customHeight="1">
      <c r="A57" s="9"/>
    </row>
    <row r="58" spans="1:4" ht="15.75" customHeight="1">
      <c r="A58" s="9"/>
    </row>
    <row r="59" spans="1:4" ht="15.75" customHeight="1">
      <c r="A59" s="9"/>
    </row>
    <row r="60" spans="1:4" ht="15.75" customHeight="1">
      <c r="A60" s="9"/>
    </row>
    <row r="61" spans="1:4" ht="15.75" customHeight="1">
      <c r="A61" s="9"/>
    </row>
    <row r="62" spans="1:4" ht="15.75" customHeight="1">
      <c r="A62" s="9"/>
    </row>
    <row r="63" spans="1:4" ht="15.75" customHeight="1">
      <c r="A63" s="9"/>
    </row>
    <row r="64" spans="1:4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</sheetData>
  <conditionalFormatting sqref="D35:M39 D41:M45 C13:M28">
    <cfRule type="containsBlanks" dxfId="5" priority="2">
      <formula>LEN(TRIM(C13))=0</formula>
    </cfRule>
  </conditionalFormatting>
  <conditionalFormatting sqref="C30:M33">
    <cfRule type="containsBlanks" dxfId="4" priority="4">
      <formula>LEN(TRIM(C30))=0</formula>
    </cfRule>
  </conditionalFormatting>
  <conditionalFormatting sqref="D20:M20">
    <cfRule type="containsBlanks" dxfId="3" priority="3">
      <formula>LEN(TRIM(D20))=0</formula>
    </cfRule>
  </conditionalFormatting>
  <conditionalFormatting sqref="D47:M47">
    <cfRule type="containsBlanks" dxfId="2" priority="1">
      <formula>LEN(TRIM(D47))=0</formula>
    </cfRule>
  </conditionalFormatting>
  <dataValidations count="1">
    <dataValidation allowBlank="1" showInputMessage="1" showErrorMessage="1" sqref="C3" xr:uid="{EA6746B5-97EF-49E1-AC7C-B92E2EBDAF55}"/>
  </dataValidation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891"/>
  <sheetViews>
    <sheetView showGridLines="0" zoomScaleNormal="100" zoomScalePageLayoutView="80" workbookViewId="0">
      <selection activeCell="C20" sqref="C2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5" t="s">
        <v>223</v>
      </c>
      <c r="C2" s="110" t="s">
        <v>151</v>
      </c>
      <c r="D2" s="110">
        <v>1</v>
      </c>
      <c r="E2" s="110">
        <v>2</v>
      </c>
      <c r="F2" s="110">
        <v>3</v>
      </c>
      <c r="G2" s="110" t="str">
        <f>B13</f>
        <v>TV after Year 1</v>
      </c>
      <c r="H2" s="12"/>
      <c r="I2" s="12"/>
    </row>
    <row r="3" spans="1:10" ht="15.75" customHeight="1">
      <c r="B3" s="21" t="str">
        <f>"(Numbers in "&amp;Income_Model!B3&amp;Dashboard!I11&amp;")"</f>
        <v>(Numbers in 1000000CNY)</v>
      </c>
      <c r="C3" s="173">
        <f>Income_Model!G3</f>
        <v>44926</v>
      </c>
      <c r="D3" s="173">
        <f>Income_Model!H3</f>
        <v>45291</v>
      </c>
      <c r="E3" s="173" t="str">
        <f>Income_Model!I3</f>
        <v/>
      </c>
      <c r="F3" s="173" t="str">
        <f>Income_Model!J3</f>
        <v/>
      </c>
      <c r="G3" s="174" t="s">
        <v>150</v>
      </c>
      <c r="I3" s="42" t="s">
        <v>68</v>
      </c>
    </row>
    <row r="4" spans="1:10" ht="15.75" customHeight="1">
      <c r="B4" s="244" t="s">
        <v>273</v>
      </c>
      <c r="C4" s="209">
        <f>IF(B4="NOPAT",Income_Model!#REF!,Income_Model!G10)/(Common_Shares/Income_Model!$B$3)</f>
        <v>2.072954771468337</v>
      </c>
      <c r="D4" s="210">
        <f>IF(B4="NOPAT",Income_Model!#REF!,Income_Model!H10)/(Common_Shares/Income_Model!$B$3)</f>
        <v>1.5547160786012528</v>
      </c>
      <c r="E4" s="210" t="str">
        <f>IF(Income_Model!I10="","",IF(B4="NOPAT",Income_Model!#REF!,Income_Model!I10)/(Common_Shares/Income_Model!$B$3))</f>
        <v/>
      </c>
      <c r="F4" s="210" t="str">
        <f>IF(Income_Model!J10="","",IF(B4="NOPAT",Income_Model!#REF!,Income_Model!J10)/(Common_Shares/Income_Model!$B$3))</f>
        <v/>
      </c>
      <c r="G4" s="211">
        <f>IF(F3="",IF(E3="",1,2),3)</f>
        <v>1</v>
      </c>
      <c r="H4" s="6"/>
      <c r="I4" s="46"/>
      <c r="J4" s="35"/>
    </row>
    <row r="5" spans="1:10" ht="15.75" customHeight="1">
      <c r="B5" s="14" t="str">
        <f>B4&amp;" Growth rate"</f>
        <v>EPS Growth rate</v>
      </c>
      <c r="C5" s="99"/>
      <c r="D5" s="208">
        <f>D4/C4-1</f>
        <v>-0.25</v>
      </c>
      <c r="E5" s="208" t="str">
        <f>IF(E4="","",E4/D4-1)</f>
        <v/>
      </c>
      <c r="F5" s="208" t="str">
        <f>IF(F4="","",F4/E4-1)</f>
        <v/>
      </c>
      <c r="G5" s="98"/>
      <c r="H5" s="6"/>
      <c r="I5" s="46"/>
      <c r="J5" s="35"/>
    </row>
    <row r="6" spans="1:10" ht="15.75" customHeight="1">
      <c r="B6" s="14" t="s">
        <v>270</v>
      </c>
      <c r="C6" s="153">
        <v>0.3</v>
      </c>
      <c r="D6" s="153">
        <v>0.3</v>
      </c>
      <c r="E6" s="153"/>
      <c r="F6" s="153"/>
      <c r="G6" s="234"/>
      <c r="H6" s="6"/>
      <c r="I6" s="45"/>
    </row>
    <row r="7" spans="1:10" ht="15.75" customHeight="1">
      <c r="B7" s="100" t="s">
        <v>274</v>
      </c>
      <c r="C7" s="149">
        <v>0.8</v>
      </c>
      <c r="D7" s="213">
        <v>0.8</v>
      </c>
      <c r="E7" s="213"/>
      <c r="F7" s="213"/>
      <c r="G7" s="214"/>
      <c r="H7" s="48"/>
      <c r="I7" s="35"/>
      <c r="J7" s="35"/>
    </row>
    <row r="8" spans="1:10" ht="15.75" customHeight="1">
      <c r="B8" s="14" t="s">
        <v>241</v>
      </c>
      <c r="C8" s="212"/>
      <c r="D8" s="134" t="str">
        <f>IF(Income_Model!$F2=1,"",Dashboard!C12)</f>
        <v/>
      </c>
      <c r="E8" s="134" t="str">
        <f>IF(Income_Model!$F2=2,"",IF(E4="","",D8))</f>
        <v/>
      </c>
      <c r="F8" s="134" t="str">
        <f>IF(Income_Model!$F2=3,"",IF(F4="","",D8))</f>
        <v/>
      </c>
      <c r="G8" s="134">
        <f ca="1">Dashboard!C12</f>
        <v>9.6000000000000002E-2</v>
      </c>
      <c r="H8" s="39"/>
      <c r="I8" s="36"/>
      <c r="J8" s="36"/>
    </row>
    <row r="9" spans="1:10" ht="15.75" customHeight="1" thickBot="1">
      <c r="B9" s="49" t="s">
        <v>71</v>
      </c>
      <c r="C9" s="74"/>
      <c r="D9" s="215" t="str">
        <f>IF(D8="","",1+D8)</f>
        <v/>
      </c>
      <c r="E9" s="215" t="str">
        <f>IF(E8="","",(1+D8)*(1+E8))</f>
        <v/>
      </c>
      <c r="F9" s="215" t="str">
        <f>IF(F8="","",(1+D8)*(1+E8)*(1+F8))</f>
        <v/>
      </c>
      <c r="G9" s="215">
        <f ca="1">IF(F7="",IF(E7="",1,D9),E9)*(1+G8)</f>
        <v>1.0960000000000001</v>
      </c>
      <c r="H9" s="39"/>
      <c r="I9" s="36"/>
      <c r="J9" s="36"/>
    </row>
    <row r="10" spans="1:10" ht="15.75" customHeight="1" thickTop="1">
      <c r="B10" s="8" t="str">
        <f>"PV "&amp;B7</f>
        <v>PV Dividends Per share</v>
      </c>
      <c r="C10" s="216"/>
      <c r="D10" s="217" t="str">
        <f>IF(D9="","",D7/D9)</f>
        <v/>
      </c>
      <c r="E10" s="217" t="str">
        <f>IF(E9="","",E7/E9)</f>
        <v/>
      </c>
      <c r="F10" s="217" t="str">
        <f>IF(F9="","",F7/F9)</f>
        <v/>
      </c>
      <c r="G10" s="218"/>
      <c r="H10" s="47"/>
      <c r="I10" s="35"/>
      <c r="J10" s="35"/>
    </row>
    <row r="11" spans="1:10" ht="15.75" customHeight="1">
      <c r="C11" s="6"/>
      <c r="D11" s="6"/>
      <c r="E11" s="171"/>
      <c r="F11" s="6"/>
      <c r="G11" s="6"/>
    </row>
    <row r="12" spans="1:10" ht="15.75" customHeight="1">
      <c r="B12" s="20" t="s">
        <v>222</v>
      </c>
      <c r="C12" s="97" t="str">
        <f>B3</f>
        <v>(Numbers in 1000000CNY)</v>
      </c>
      <c r="E12" s="308" t="s">
        <v>138</v>
      </c>
      <c r="F12" s="308"/>
      <c r="G12" s="59"/>
    </row>
    <row r="13" spans="1:10" ht="15.75" customHeight="1">
      <c r="B13" s="80" t="str">
        <f>"TV after Year "&amp;G4</f>
        <v>TV after Year 1</v>
      </c>
      <c r="C13" s="54" t="s">
        <v>277</v>
      </c>
      <c r="D13" s="38" t="s">
        <v>219</v>
      </c>
      <c r="E13" s="229" t="s">
        <v>137</v>
      </c>
      <c r="F13" s="103" t="str">
        <f>"Equity Value ("&amp;Dashboard!I11&amp;")"</f>
        <v>Equity Value (CNY)</v>
      </c>
      <c r="G13" s="125" t="str">
        <f>"Equity Value ("&amp;Dashboard!J4&amp;")"</f>
        <v>Equity Value (HKD)</v>
      </c>
      <c r="I13" s="52"/>
    </row>
    <row r="14" spans="1:10" ht="15.75" customHeight="1">
      <c r="B14" s="124" t="s">
        <v>150</v>
      </c>
      <c r="C14" s="207">
        <v>0.02</v>
      </c>
      <c r="D14" s="230"/>
      <c r="E14" s="95">
        <f ca="1">IF(D14="",IF(G7&lt;0,G7,G7/C14/G9),D14)</f>
        <v>0</v>
      </c>
      <c r="F14" s="95">
        <f ca="1">SUM(D10:F10)+E14</f>
        <v>0</v>
      </c>
      <c r="G14" s="231">
        <f ca="1">F14*Exchange_Rate</f>
        <v>0</v>
      </c>
      <c r="I14" s="43"/>
    </row>
    <row r="15" spans="1:10" ht="15.75" customHeight="1">
      <c r="B15" s="22"/>
      <c r="C15" s="39"/>
      <c r="D15" s="247"/>
      <c r="E15" s="203"/>
      <c r="F15" s="249" t="s">
        <v>279</v>
      </c>
      <c r="G15" s="95"/>
      <c r="I15" s="43"/>
    </row>
    <row r="16" spans="1:10" ht="15.5" customHeight="1">
      <c r="C16" s="6"/>
      <c r="D16" s="6"/>
      <c r="F16" s="248" t="s">
        <v>278</v>
      </c>
      <c r="G16" s="132"/>
    </row>
    <row r="17" spans="1:9" ht="15.75" customHeight="1"/>
    <row r="18" spans="1:9" ht="15.75" customHeight="1">
      <c r="A18" s="4"/>
      <c r="B18" s="219" t="s">
        <v>225</v>
      </c>
      <c r="C18" s="6"/>
      <c r="D18" s="6"/>
      <c r="E18" s="22" t="s">
        <v>135</v>
      </c>
      <c r="F18" s="22" t="s">
        <v>220</v>
      </c>
      <c r="G18" s="22" t="s">
        <v>221</v>
      </c>
      <c r="H18" s="83"/>
      <c r="I18" s="100"/>
    </row>
    <row r="19" spans="1:9" ht="15.75" customHeight="1">
      <c r="B19" s="75" t="s">
        <v>191</v>
      </c>
      <c r="C19" s="226" t="e">
        <f>MIN(G16,#REF!)+ABS(G16-#REF!)*Qualitative_Analysis!$E$8</f>
        <v>#REF!</v>
      </c>
      <c r="D19" s="227" t="str">
        <f>Dashboard!J4</f>
        <v>HKD</v>
      </c>
      <c r="E19" s="228" t="e">
        <f>(C19-#REF!)/C7</f>
        <v>#REF!</v>
      </c>
      <c r="F19" s="228" t="e">
        <f>C19/(#REF!*Exchange_Rate*Income_Model!B3/Common_Shares)</f>
        <v>#REF!</v>
      </c>
      <c r="G19" s="228" t="e">
        <f>(C19*Common_Shares)/(#REF!*Income_Model!$B$3*Exchange_Rate)</f>
        <v>#REF!</v>
      </c>
      <c r="I19" s="43"/>
    </row>
    <row r="20" spans="1:9" ht="15.75" customHeight="1">
      <c r="B20" s="6" t="s">
        <v>211</v>
      </c>
      <c r="C20" s="220">
        <v>3</v>
      </c>
      <c r="D20" s="221" t="str">
        <f>D19</f>
        <v>HKD</v>
      </c>
      <c r="E20" s="190" t="e">
        <f>(C20-#REF!)/C7</f>
        <v>#REF!</v>
      </c>
      <c r="F20" s="190">
        <f>C20/(Asset_Model!I3*Exchange_Rate*Income_Model!B3/Common_Shares)</f>
        <v>0.35748199586683249</v>
      </c>
      <c r="G20" s="190" t="e">
        <f>(C20*Common_Shares)/(#REF!*Income_Model!$B$3*Exchange_Rate)</f>
        <v>#REF!</v>
      </c>
      <c r="I20" s="43"/>
    </row>
    <row r="21" spans="1:9" ht="15.75" customHeight="1">
      <c r="B21" s="222" t="s">
        <v>212</v>
      </c>
      <c r="C21" s="223" t="e">
        <f>MIN(C20,C19)+ABS(C20-C19)*Qualitative_Analysis!E64</f>
        <v>#REF!</v>
      </c>
      <c r="D21" s="221" t="str">
        <f>D20</f>
        <v>HKD</v>
      </c>
      <c r="E21" s="190" t="e">
        <f>(C21-#REF!)/C7</f>
        <v>#REF!</v>
      </c>
      <c r="F21" s="190" t="e">
        <f>C21/(Asset_Model!I3*Exchange_Rate*Income_Model!B3/Common_Shares)</f>
        <v>#REF!</v>
      </c>
      <c r="G21" s="190" t="e">
        <f>(C21*Common_Shares)/(#REF!*Income_Model!$B$3*Exchange_Rate)</f>
        <v>#REF!</v>
      </c>
    </row>
    <row r="22" spans="1:9" ht="15.75" customHeight="1">
      <c r="B22" s="83" t="s">
        <v>192</v>
      </c>
      <c r="C22" s="224" t="e">
        <f>MAX(#REF!,C19)/(1+Dashboard!I14)</f>
        <v>#REF!</v>
      </c>
      <c r="D22" s="225" t="str">
        <f>D20</f>
        <v>HKD</v>
      </c>
      <c r="E22" s="191" t="e">
        <f>(C22-#REF!)/C7</f>
        <v>#REF!</v>
      </c>
      <c r="F22" s="191" t="e">
        <f>C22/(Asset_Model!I3*Exchange_Rate*Income_Model!B3/Common_Shares)</f>
        <v>#REF!</v>
      </c>
      <c r="G22" s="191" t="e">
        <f>(C22*Common_Shares)/(#REF!*Income_Model!$B$3*Exchange_Rate)</f>
        <v>#REF!</v>
      </c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</sheetData>
  <mergeCells count="1">
    <mergeCell ref="E12:F12"/>
  </mergeCells>
  <phoneticPr fontId="31" type="noConversion"/>
  <conditionalFormatting sqref="D14:G15">
    <cfRule type="cellIs" dxfId="1" priority="7" operator="equal">
      <formula>#REF!</formula>
    </cfRule>
  </conditionalFormatting>
  <conditionalFormatting sqref="E4:F10 D8:D10">
    <cfRule type="containsBlanks" dxfId="0" priority="2">
      <formula>LEN(TRIM(D4))=0</formula>
    </cfRule>
  </conditionalFormatting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4" sqref="B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72</v>
      </c>
      <c r="C2" s="58"/>
      <c r="D2" s="12"/>
      <c r="E2" s="6"/>
      <c r="G2" s="42" t="s">
        <v>68</v>
      </c>
    </row>
    <row r="3" spans="1:7" ht="14">
      <c r="B3" s="6" t="s">
        <v>159</v>
      </c>
      <c r="C3" s="59"/>
      <c r="D3" s="57">
        <f>IF(E3="Strongly disagree",0,IF(E3="disagree",1,IF(E3="unclear",2,IF(E3="agree",3,4))))</f>
        <v>0</v>
      </c>
      <c r="E3" s="183" t="s">
        <v>96</v>
      </c>
      <c r="G3" s="46"/>
    </row>
    <row r="4" spans="1:7" ht="14">
      <c r="B4" s="6" t="s">
        <v>161</v>
      </c>
      <c r="C4" s="59"/>
      <c r="D4" s="57">
        <f t="shared" ref="D4" si="0">IF(E4="Strongly disagree",0,IF(E4="disagree",1,IF(E4="unclear",2,IF(E4="agree",3,4))))</f>
        <v>3</v>
      </c>
      <c r="E4" s="154" t="s">
        <v>74</v>
      </c>
      <c r="G4" s="45"/>
    </row>
    <row r="5" spans="1:7" ht="14">
      <c r="B5" s="6" t="s">
        <v>156</v>
      </c>
      <c r="C5" s="59"/>
      <c r="D5" s="57">
        <f>AVERAGE(D12:D16)</f>
        <v>1.8</v>
      </c>
      <c r="E5" s="152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157</v>
      </c>
      <c r="C6" s="59"/>
      <c r="D6" s="57">
        <f>AVERAGE(D24:D28)</f>
        <v>1.6</v>
      </c>
      <c r="E6" s="152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158</v>
      </c>
      <c r="C7" s="59"/>
      <c r="D7" s="62">
        <f>IF(E7="Strongly disagree",0,IF(E7="disagree",1,IF(E7="unclear",2,IF(E7="agree",3,4))))</f>
        <v>4</v>
      </c>
      <c r="E7" s="22" t="s">
        <v>83</v>
      </c>
      <c r="G7" s="46"/>
    </row>
    <row r="8" spans="1:7" ht="14">
      <c r="B8" s="60" t="s">
        <v>75</v>
      </c>
      <c r="C8" s="59"/>
      <c r="D8" s="57">
        <f>AVERAGE(D3:D7)</f>
        <v>2.08</v>
      </c>
      <c r="E8" s="182">
        <f>D8/4</f>
        <v>0.52</v>
      </c>
      <c r="G8" s="45"/>
    </row>
    <row r="9" spans="1:7" ht="14">
      <c r="B9" s="59"/>
      <c r="C9" s="59"/>
      <c r="E9" s="6"/>
      <c r="G9" s="45"/>
    </row>
    <row r="10" spans="1:7" ht="15" customHeight="1">
      <c r="A10" s="4"/>
      <c r="B10" s="11" t="s">
        <v>76</v>
      </c>
      <c r="C10" s="16"/>
      <c r="D10" s="16"/>
      <c r="E10" s="12"/>
      <c r="G10" s="112"/>
    </row>
    <row r="11" spans="1:7" ht="15" customHeight="1">
      <c r="B11" s="61" t="s">
        <v>77</v>
      </c>
      <c r="C11" s="56"/>
      <c r="E11" s="6"/>
      <c r="G11" s="112"/>
    </row>
    <row r="12" spans="1:7" ht="15" customHeight="1">
      <c r="B12" s="32" t="s">
        <v>160</v>
      </c>
      <c r="D12" s="62">
        <f>IF(E12="Strongly disagree",0,IF(E12="disagree",1,IF(E12="unclear",2,IF(E12="agree",3,4))))</f>
        <v>0</v>
      </c>
      <c r="E12" s="154" t="s">
        <v>96</v>
      </c>
      <c r="F12" s="6"/>
      <c r="G12" s="112"/>
    </row>
    <row r="13" spans="1:7" ht="15" customHeight="1">
      <c r="B13" s="32" t="s">
        <v>78</v>
      </c>
      <c r="D13" s="62">
        <f>IF(E13="Strongly disagree",0,IF(E13="disagree",1,IF(E13="unclear",2,IF(E13="agree",3,4))))</f>
        <v>3</v>
      </c>
      <c r="E13" s="154" t="s">
        <v>74</v>
      </c>
      <c r="F13" s="6"/>
      <c r="G13" s="112"/>
    </row>
    <row r="14" spans="1:7" ht="15" customHeight="1">
      <c r="B14" s="32" t="s">
        <v>79</v>
      </c>
      <c r="D14" s="62">
        <f>IF(E14="Strongly disagree",0,IF(E14="disagree",1,IF(E14="unclear",2,IF(E14="agree",3,4))))</f>
        <v>3</v>
      </c>
      <c r="E14" s="154" t="s">
        <v>74</v>
      </c>
      <c r="F14" s="6"/>
      <c r="G14" s="112" t="s">
        <v>227</v>
      </c>
    </row>
    <row r="15" spans="1:7" ht="15" customHeight="1">
      <c r="B15" s="32" t="s">
        <v>80</v>
      </c>
      <c r="D15" s="62">
        <f>IF(E15="Strongly disagree",0,IF(E15="disagree",1,IF(E15="unclear",2,IF(E15="agree",3,4))))</f>
        <v>2</v>
      </c>
      <c r="E15" s="154" t="s">
        <v>73</v>
      </c>
      <c r="F15" s="6"/>
      <c r="G15" s="112"/>
    </row>
    <row r="16" spans="1:7" ht="15" customHeight="1">
      <c r="B16" s="32" t="s">
        <v>82</v>
      </c>
      <c r="D16" s="62">
        <f>IF(E16="Strongly disagree",0,IF(E16="disagree",1,IF(E16="unclear",2,IF(E16="agree",3,4))))</f>
        <v>1</v>
      </c>
      <c r="E16" s="154" t="s">
        <v>81</v>
      </c>
      <c r="F16" s="6"/>
      <c r="G16" s="112"/>
    </row>
    <row r="17" spans="2:7" ht="15" customHeight="1">
      <c r="B17" s="61" t="s">
        <v>84</v>
      </c>
      <c r="D17" s="25"/>
      <c r="E17" s="18"/>
      <c r="G17" s="112"/>
    </row>
    <row r="18" spans="2:7" ht="15" customHeight="1">
      <c r="B18" s="32" t="s">
        <v>175</v>
      </c>
      <c r="D18" s="62" t="e">
        <f>Asset_Model!#REF!</f>
        <v>#REF!</v>
      </c>
      <c r="E18" s="154" t="s">
        <v>74</v>
      </c>
      <c r="F18" s="6"/>
      <c r="G18" s="112"/>
    </row>
    <row r="19" spans="2:7" ht="15" customHeight="1">
      <c r="B19" s="32" t="s">
        <v>85</v>
      </c>
      <c r="D19" s="62">
        <f t="shared" ref="D19:D22" si="1">IF(E19="Strongly disagree",0,IF(E19="disagree",1,IF(E19="unclear",2,IF(E19="agree",3,4))))</f>
        <v>1</v>
      </c>
      <c r="E19" s="154" t="s">
        <v>81</v>
      </c>
      <c r="F19" s="6"/>
      <c r="G19" s="112"/>
    </row>
    <row r="20" spans="2:7" ht="15" customHeight="1">
      <c r="B20" s="32" t="s">
        <v>86</v>
      </c>
      <c r="D20" s="62">
        <f t="shared" si="1"/>
        <v>0</v>
      </c>
      <c r="E20" s="154" t="s">
        <v>96</v>
      </c>
      <c r="F20" s="6"/>
      <c r="G20" s="112"/>
    </row>
    <row r="21" spans="2:7" ht="15" customHeight="1">
      <c r="B21" s="32" t="s">
        <v>87</v>
      </c>
      <c r="D21" s="62">
        <f t="shared" si="1"/>
        <v>2</v>
      </c>
      <c r="E21" s="154" t="s">
        <v>73</v>
      </c>
      <c r="F21" s="6"/>
      <c r="G21" s="112"/>
    </row>
    <row r="22" spans="2:7" ht="15" customHeight="1">
      <c r="B22" s="32" t="s">
        <v>88</v>
      </c>
      <c r="D22" s="62">
        <f t="shared" si="1"/>
        <v>1</v>
      </c>
      <c r="E22" s="154" t="s">
        <v>81</v>
      </c>
      <c r="F22" s="6"/>
      <c r="G22" s="112"/>
    </row>
    <row r="23" spans="2:7" ht="15" customHeight="1">
      <c r="B23" s="61" t="s">
        <v>89</v>
      </c>
      <c r="D23" s="25"/>
      <c r="E23" s="18"/>
      <c r="G23" s="112"/>
    </row>
    <row r="24" spans="2:7" ht="15" customHeight="1">
      <c r="B24" s="32" t="s">
        <v>90</v>
      </c>
      <c r="D24" s="62">
        <f t="shared" ref="D24:D28" si="2">IF(E24="Strongly disagree",0,IF(E24="disagree",1,IF(E24="unclear",2,IF(E24="agree",3,4))))</f>
        <v>0</v>
      </c>
      <c r="E24" s="154" t="s">
        <v>96</v>
      </c>
      <c r="F24" s="6"/>
      <c r="G24" s="112"/>
    </row>
    <row r="25" spans="2:7" ht="15" customHeight="1">
      <c r="B25" s="32" t="s">
        <v>91</v>
      </c>
      <c r="D25" s="62">
        <f t="shared" si="2"/>
        <v>2</v>
      </c>
      <c r="E25" s="154" t="s">
        <v>73</v>
      </c>
      <c r="F25" s="6"/>
      <c r="G25" s="112"/>
    </row>
    <row r="26" spans="2:7" ht="15" customHeight="1">
      <c r="B26" s="32" t="s">
        <v>162</v>
      </c>
      <c r="D26" s="62">
        <f t="shared" si="2"/>
        <v>2</v>
      </c>
      <c r="E26" s="154" t="s">
        <v>73</v>
      </c>
      <c r="F26" s="6"/>
      <c r="G26" s="112"/>
    </row>
    <row r="27" spans="2:7" ht="15" customHeight="1">
      <c r="B27" s="32" t="s">
        <v>163</v>
      </c>
      <c r="D27" s="62">
        <f t="shared" si="2"/>
        <v>2</v>
      </c>
      <c r="E27" s="154" t="s">
        <v>73</v>
      </c>
      <c r="F27" s="6"/>
      <c r="G27" s="112"/>
    </row>
    <row r="28" spans="2:7" ht="15" customHeight="1">
      <c r="B28" s="32" t="s">
        <v>92</v>
      </c>
      <c r="D28" s="62">
        <f t="shared" si="2"/>
        <v>2</v>
      </c>
      <c r="E28" s="154" t="s">
        <v>73</v>
      </c>
      <c r="F28" s="6"/>
      <c r="G28" s="112"/>
    </row>
    <row r="29" spans="2:7" ht="15" customHeight="1">
      <c r="B29" s="61" t="s">
        <v>93</v>
      </c>
      <c r="D29" s="25"/>
      <c r="E29" s="18"/>
      <c r="G29" s="112"/>
    </row>
    <row r="30" spans="2:7" ht="15" customHeight="1">
      <c r="B30" s="1" t="s">
        <v>94</v>
      </c>
      <c r="D30" s="63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2"/>
    </row>
    <row r="31" spans="2:7" ht="15" customHeight="1">
      <c r="B31" s="32" t="s">
        <v>95</v>
      </c>
      <c r="D31" s="62">
        <f t="shared" ref="D31:D35" si="3">IF(E31="Strongly disagree",0,IF(E31="disagree",1,IF(E31="unclear",2,IF(E31="agree",3,4))))</f>
        <v>2</v>
      </c>
      <c r="E31" s="154" t="s">
        <v>73</v>
      </c>
      <c r="F31" s="6"/>
      <c r="G31" s="112"/>
    </row>
    <row r="32" spans="2:7" ht="15" customHeight="1">
      <c r="B32" s="32" t="s">
        <v>164</v>
      </c>
      <c r="D32" s="62">
        <f t="shared" si="3"/>
        <v>1</v>
      </c>
      <c r="E32" s="154" t="s">
        <v>81</v>
      </c>
      <c r="F32" s="6"/>
      <c r="G32" s="112"/>
    </row>
    <row r="33" spans="2:7" ht="15" customHeight="1">
      <c r="B33" s="32" t="s">
        <v>165</v>
      </c>
      <c r="D33" s="62">
        <f t="shared" si="3"/>
        <v>0</v>
      </c>
      <c r="E33" s="154" t="s">
        <v>96</v>
      </c>
      <c r="F33" s="6"/>
      <c r="G33" s="112"/>
    </row>
    <row r="34" spans="2:7" ht="15" customHeight="1">
      <c r="B34" s="32" t="s">
        <v>166</v>
      </c>
      <c r="D34" s="62">
        <f t="shared" si="3"/>
        <v>1</v>
      </c>
      <c r="E34" s="154" t="s">
        <v>81</v>
      </c>
      <c r="F34" s="6"/>
      <c r="G34" s="112"/>
    </row>
    <row r="35" spans="2:7" ht="15" customHeight="1">
      <c r="B35" s="32" t="s">
        <v>176</v>
      </c>
      <c r="D35" s="62">
        <f t="shared" si="3"/>
        <v>4</v>
      </c>
      <c r="E35" s="154" t="s">
        <v>83</v>
      </c>
      <c r="G35" s="112" t="s">
        <v>239</v>
      </c>
    </row>
    <row r="36" spans="2:7" ht="15" customHeight="1">
      <c r="B36" s="1" t="s">
        <v>97</v>
      </c>
      <c r="D36" s="63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2"/>
    </row>
    <row r="37" spans="2:7" ht="15" customHeight="1">
      <c r="B37" s="32" t="s">
        <v>98</v>
      </c>
      <c r="D37" s="62">
        <f t="shared" ref="D37:D41" si="4">IF(E37="Strongly disagree",0,IF(E37="disagree",1,IF(E37="unclear",2,IF(E37="agree",3,4))))</f>
        <v>4</v>
      </c>
      <c r="E37" s="154" t="s">
        <v>83</v>
      </c>
      <c r="F37" s="6"/>
      <c r="G37" s="112"/>
    </row>
    <row r="38" spans="2:7" ht="15" customHeight="1">
      <c r="B38" s="32" t="s">
        <v>167</v>
      </c>
      <c r="D38" s="62">
        <f t="shared" si="4"/>
        <v>4</v>
      </c>
      <c r="E38" s="154" t="s">
        <v>83</v>
      </c>
      <c r="F38" s="6"/>
      <c r="G38" s="112"/>
    </row>
    <row r="39" spans="2:7" ht="15" customHeight="1">
      <c r="B39" s="32" t="s">
        <v>168</v>
      </c>
      <c r="D39" s="62">
        <f t="shared" si="4"/>
        <v>4</v>
      </c>
      <c r="E39" s="154" t="s">
        <v>83</v>
      </c>
      <c r="F39" s="6"/>
      <c r="G39" s="112"/>
    </row>
    <row r="40" spans="2:7" ht="15" customHeight="1">
      <c r="B40" s="32" t="s">
        <v>169</v>
      </c>
      <c r="D40" s="62">
        <f t="shared" si="4"/>
        <v>4</v>
      </c>
      <c r="E40" s="154" t="s">
        <v>83</v>
      </c>
      <c r="F40" s="6"/>
      <c r="G40" s="112"/>
    </row>
    <row r="41" spans="2:7" ht="15" customHeight="1">
      <c r="B41" s="32" t="s">
        <v>170</v>
      </c>
      <c r="D41" s="62">
        <f t="shared" si="4"/>
        <v>4</v>
      </c>
      <c r="E41" s="154" t="s">
        <v>83</v>
      </c>
      <c r="G41" s="112"/>
    </row>
    <row r="42" spans="2:7" ht="15" customHeight="1">
      <c r="B42" s="1" t="s">
        <v>99</v>
      </c>
      <c r="D42" s="63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2"/>
    </row>
    <row r="43" spans="2:7" ht="15" customHeight="1">
      <c r="B43" s="32" t="s">
        <v>100</v>
      </c>
      <c r="D43" s="62">
        <f t="shared" ref="D43:D48" si="5">IF(E43="Strongly disagree",0,IF(E43="disagree",1,IF(E43="unclear",2,IF(E43="agree",3,4))))</f>
        <v>1</v>
      </c>
      <c r="E43" s="154" t="s">
        <v>81</v>
      </c>
      <c r="F43" s="6"/>
      <c r="G43" s="112"/>
    </row>
    <row r="44" spans="2:7" ht="15" customHeight="1">
      <c r="B44" s="32" t="s">
        <v>101</v>
      </c>
      <c r="D44" s="62">
        <f t="shared" si="5"/>
        <v>4</v>
      </c>
      <c r="E44" s="154" t="s">
        <v>83</v>
      </c>
      <c r="F44" s="6"/>
      <c r="G44" s="112"/>
    </row>
    <row r="45" spans="2:7" ht="15" customHeight="1">
      <c r="B45" s="32" t="s">
        <v>102</v>
      </c>
      <c r="D45" s="62">
        <f t="shared" si="5"/>
        <v>4</v>
      </c>
      <c r="E45" s="154" t="s">
        <v>83</v>
      </c>
      <c r="F45" s="6"/>
      <c r="G45" s="112"/>
    </row>
    <row r="46" spans="2:7" ht="15" customHeight="1">
      <c r="B46" s="32" t="s">
        <v>103</v>
      </c>
      <c r="D46" s="62">
        <f t="shared" si="5"/>
        <v>0</v>
      </c>
      <c r="E46" s="154" t="s">
        <v>96</v>
      </c>
      <c r="F46" s="6"/>
      <c r="G46" s="112"/>
    </row>
    <row r="47" spans="2:7" ht="15" customHeight="1">
      <c r="B47" s="32" t="s">
        <v>104</v>
      </c>
      <c r="D47" s="62">
        <f t="shared" si="5"/>
        <v>4</v>
      </c>
      <c r="E47" s="154" t="s">
        <v>83</v>
      </c>
      <c r="F47" s="6"/>
      <c r="G47" s="112"/>
    </row>
    <row r="48" spans="2:7" ht="15" customHeight="1">
      <c r="B48" s="32" t="s">
        <v>130</v>
      </c>
      <c r="D48" s="62">
        <f t="shared" si="5"/>
        <v>0</v>
      </c>
      <c r="E48" s="154" t="s">
        <v>96</v>
      </c>
      <c r="F48" s="6"/>
      <c r="G48" s="112"/>
    </row>
    <row r="49" spans="2:8" ht="15" customHeight="1">
      <c r="B49" s="1" t="s">
        <v>105</v>
      </c>
      <c r="D49" s="63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2"/>
    </row>
    <row r="50" spans="2:8" ht="15" customHeight="1">
      <c r="B50" s="32" t="s">
        <v>106</v>
      </c>
      <c r="D50" s="62">
        <f t="shared" ref="D50:D52" si="6">IF(E50="Strongly disagree",0,IF(E50="disagree",1,IF(E50="unclear",2,IF(E50="agree",3,4))))</f>
        <v>0</v>
      </c>
      <c r="E50" s="154" t="s">
        <v>96</v>
      </c>
      <c r="G50" s="112"/>
    </row>
    <row r="51" spans="2:8" ht="15" customHeight="1">
      <c r="B51" s="32" t="s">
        <v>107</v>
      </c>
      <c r="D51" s="62">
        <f t="shared" si="6"/>
        <v>4</v>
      </c>
      <c r="E51" s="154" t="s">
        <v>83</v>
      </c>
      <c r="F51" s="6"/>
      <c r="G51" s="112"/>
    </row>
    <row r="52" spans="2:8" ht="15" customHeight="1">
      <c r="B52" s="32" t="s">
        <v>171</v>
      </c>
      <c r="D52" s="62">
        <f t="shared" si="6"/>
        <v>2</v>
      </c>
      <c r="E52" s="154" t="s">
        <v>73</v>
      </c>
      <c r="G52" s="112"/>
    </row>
    <row r="53" spans="2:8" ht="15" customHeight="1">
      <c r="B53" s="32" t="s">
        <v>172</v>
      </c>
      <c r="D53" s="62">
        <f>IF(E53="Strongly disagree",0,IF(E53="disagree",1,IF(E53="unclear",2,IF(E53="agree",3,4))))</f>
        <v>3</v>
      </c>
      <c r="E53" s="154" t="s">
        <v>74</v>
      </c>
      <c r="F53" s="32"/>
      <c r="G53" s="112"/>
      <c r="H53" s="32"/>
    </row>
    <row r="54" spans="2:8" ht="15" customHeight="1">
      <c r="B54" s="32" t="s">
        <v>173</v>
      </c>
      <c r="D54" s="64">
        <f t="array" ref="D54">(1-INDEX(B68:E77,MATCH(E54,B68:B77,0),4))*4</f>
        <v>3.8639455782312924</v>
      </c>
      <c r="E54" s="154" t="s">
        <v>115</v>
      </c>
      <c r="F54" s="32"/>
      <c r="G54" s="112"/>
      <c r="H54" s="32"/>
    </row>
    <row r="55" spans="2:8" ht="15" customHeight="1">
      <c r="B55" s="1" t="s">
        <v>108</v>
      </c>
      <c r="D55" s="65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2"/>
      <c r="H55" s="32"/>
    </row>
    <row r="56" spans="2:8" ht="15" customHeight="1">
      <c r="B56" s="32" t="s">
        <v>109</v>
      </c>
      <c r="D56" s="62">
        <f t="shared" ref="D56:D60" si="7">IF(E56="Strongly disagree",0,IF(E56="disagree",1,IF(E56="unclear",2,IF(E56="agree",3,4))))</f>
        <v>3</v>
      </c>
      <c r="E56" s="154" t="s">
        <v>74</v>
      </c>
      <c r="F56" s="32"/>
      <c r="G56" s="112"/>
      <c r="H56" s="32"/>
    </row>
    <row r="57" spans="2:8" ht="15" customHeight="1">
      <c r="B57" s="32" t="s">
        <v>110</v>
      </c>
      <c r="D57" s="62">
        <f t="shared" si="7"/>
        <v>0</v>
      </c>
      <c r="E57" s="154" t="s">
        <v>96</v>
      </c>
      <c r="F57" s="32"/>
      <c r="G57" s="112"/>
      <c r="H57" s="32"/>
    </row>
    <row r="58" spans="2:8" ht="15" customHeight="1">
      <c r="B58" s="32" t="s">
        <v>131</v>
      </c>
      <c r="D58" s="62">
        <f t="shared" si="7"/>
        <v>4</v>
      </c>
      <c r="E58" s="154" t="s">
        <v>83</v>
      </c>
      <c r="F58" s="32"/>
      <c r="G58" s="112"/>
      <c r="H58" s="32"/>
    </row>
    <row r="59" spans="2:8" ht="15" customHeight="1">
      <c r="B59" s="32" t="s">
        <v>132</v>
      </c>
      <c r="D59" s="62">
        <f t="shared" si="7"/>
        <v>2</v>
      </c>
      <c r="E59" s="154" t="s">
        <v>73</v>
      </c>
      <c r="F59" s="32"/>
      <c r="G59" s="112"/>
      <c r="H59" s="32"/>
    </row>
    <row r="60" spans="2:8" ht="15" customHeight="1">
      <c r="B60" s="32" t="s">
        <v>133</v>
      </c>
      <c r="D60" s="62">
        <f t="shared" si="7"/>
        <v>2</v>
      </c>
      <c r="E60" s="154" t="s">
        <v>73</v>
      </c>
      <c r="F60" s="32"/>
      <c r="G60" s="112"/>
      <c r="H60" s="32"/>
    </row>
    <row r="61" spans="2:8" ht="15" customHeight="1">
      <c r="B61" s="32" t="s">
        <v>134</v>
      </c>
      <c r="D61" s="62">
        <f>IF(E61="Strongly disagree",0,IF(E61="disagree",1,IF(E61="non-perishable",2,IF(E61="agree",3,4))))</f>
        <v>2</v>
      </c>
      <c r="E61" s="154" t="s">
        <v>209</v>
      </c>
      <c r="F61" s="32"/>
      <c r="G61" s="112"/>
      <c r="H61" s="32"/>
    </row>
    <row r="62" spans="2:8" ht="15" customHeight="1">
      <c r="B62" s="86" t="s">
        <v>111</v>
      </c>
      <c r="D62" s="79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2"/>
      <c r="H62" s="32"/>
    </row>
    <row r="63" spans="2:8" ht="15" customHeight="1">
      <c r="D63" s="6"/>
      <c r="E63" s="6"/>
      <c r="G63" s="112"/>
    </row>
    <row r="64" spans="2:8" ht="15" customHeight="1">
      <c r="B64" s="60" t="s">
        <v>112</v>
      </c>
      <c r="D64" s="57">
        <f>E64*4</f>
        <v>0</v>
      </c>
      <c r="E64" s="184"/>
      <c r="G64" s="112"/>
    </row>
    <row r="65" spans="2:7" ht="15" customHeight="1">
      <c r="G65" s="113"/>
    </row>
    <row r="66" spans="2:7" ht="15" customHeight="1">
      <c r="B66" s="33" t="s">
        <v>113</v>
      </c>
      <c r="C66" s="7"/>
      <c r="D66" s="7"/>
      <c r="E66" s="34"/>
    </row>
    <row r="67" spans="2:7" ht="15" customHeight="1">
      <c r="B67" s="66" t="s">
        <v>114</v>
      </c>
      <c r="C67" s="67"/>
      <c r="D67" s="67"/>
      <c r="E67" s="68"/>
    </row>
    <row r="68" spans="2:7" ht="15" customHeight="1">
      <c r="B68" s="69" t="s">
        <v>115</v>
      </c>
      <c r="C68" s="67"/>
      <c r="D68" s="67">
        <v>1</v>
      </c>
      <c r="E68" s="70">
        <f t="shared" ref="E68:E76" si="8">D68/MAX($D$68:$D$77)</f>
        <v>3.4013605442176874E-2</v>
      </c>
    </row>
    <row r="69" spans="2:7" ht="15" customHeight="1">
      <c r="B69" s="69" t="str">
        <f t="shared" ref="B69:B77" si="9">C69&amp;", "&amp;D69&amp;"y"</f>
        <v>Information Technology Like, 6.6y</v>
      </c>
      <c r="C69" s="67" t="s">
        <v>116</v>
      </c>
      <c r="D69" s="67">
        <v>6.6</v>
      </c>
      <c r="E69" s="70">
        <f t="shared" si="8"/>
        <v>0.22448979591836735</v>
      </c>
    </row>
    <row r="70" spans="2:7" ht="15" customHeight="1">
      <c r="B70" s="69" t="str">
        <f t="shared" si="9"/>
        <v>Healthcare, 11.4y</v>
      </c>
      <c r="C70" s="67" t="s">
        <v>117</v>
      </c>
      <c r="D70" s="67">
        <v>11.4</v>
      </c>
      <c r="E70" s="70">
        <f t="shared" si="8"/>
        <v>0.38775510204081637</v>
      </c>
    </row>
    <row r="71" spans="2:7" ht="15" customHeight="1">
      <c r="B71" s="69" t="str">
        <f t="shared" si="9"/>
        <v>Consumer Discretionary, 12.4y</v>
      </c>
      <c r="C71" s="67" t="s">
        <v>118</v>
      </c>
      <c r="D71" s="67">
        <v>12.4</v>
      </c>
      <c r="E71" s="70">
        <f t="shared" si="8"/>
        <v>0.42176870748299322</v>
      </c>
    </row>
    <row r="72" spans="2:7" ht="15" customHeight="1">
      <c r="B72" s="69" t="str">
        <f t="shared" si="9"/>
        <v>Consumer Staples, 15.1y</v>
      </c>
      <c r="C72" s="67" t="s">
        <v>119</v>
      </c>
      <c r="D72" s="67">
        <v>15.1</v>
      </c>
      <c r="E72" s="70">
        <f t="shared" si="8"/>
        <v>0.51360544217687076</v>
      </c>
    </row>
    <row r="73" spans="2:7" ht="15" customHeight="1">
      <c r="B73" s="69" t="str">
        <f t="shared" si="9"/>
        <v>Industrials, 15.4y</v>
      </c>
      <c r="C73" s="67" t="s">
        <v>120</v>
      </c>
      <c r="D73" s="67">
        <v>15.4</v>
      </c>
      <c r="E73" s="70">
        <f t="shared" si="8"/>
        <v>0.52380952380952384</v>
      </c>
    </row>
    <row r="74" spans="2:7" ht="15" customHeight="1">
      <c r="B74" s="69" t="str">
        <f t="shared" si="9"/>
        <v>Telecommunication Services, 16.1y</v>
      </c>
      <c r="C74" s="67" t="s">
        <v>121</v>
      </c>
      <c r="D74" s="67">
        <v>16.100000000000001</v>
      </c>
      <c r="E74" s="70">
        <f t="shared" si="8"/>
        <v>0.54761904761904767</v>
      </c>
    </row>
    <row r="75" spans="2:7" ht="15" customHeight="1">
      <c r="B75" s="69" t="str">
        <f t="shared" si="9"/>
        <v>Energy, 17.6y</v>
      </c>
      <c r="C75" s="67" t="s">
        <v>122</v>
      </c>
      <c r="D75" s="67">
        <v>17.600000000000001</v>
      </c>
      <c r="E75" s="70">
        <f t="shared" si="8"/>
        <v>0.59863945578231303</v>
      </c>
    </row>
    <row r="76" spans="2:7" ht="15" customHeight="1">
      <c r="B76" s="69" t="str">
        <f t="shared" si="9"/>
        <v>Materials, 18.6y</v>
      </c>
      <c r="C76" s="67" t="s">
        <v>123</v>
      </c>
      <c r="D76" s="67">
        <v>18.600000000000001</v>
      </c>
      <c r="E76" s="70">
        <f t="shared" si="8"/>
        <v>0.63265306122448983</v>
      </c>
    </row>
    <row r="77" spans="2:7" ht="15" customHeight="1">
      <c r="B77" s="71" t="str">
        <f t="shared" si="9"/>
        <v>Utilities, 29.4y</v>
      </c>
      <c r="C77" s="72" t="s">
        <v>124</v>
      </c>
      <c r="D77" s="72">
        <v>29.4</v>
      </c>
      <c r="E77" s="7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8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Asset_Model</vt:lpstr>
      <vt:lpstr>Asset_Model (2)</vt:lpstr>
      <vt:lpstr>Income_Model</vt:lpstr>
      <vt:lpstr>Data (2)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2023-09-28T07:58:43Z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