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1C188FF-39B4-4E6E-A5B7-BA83C28AEFF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E26" i="1"/>
  <c r="C12" i="1"/>
  <c r="C35" i="1"/>
  <c r="B18" i="1" s="1"/>
  <c r="C36" i="1"/>
  <c r="E7" i="3"/>
  <c r="E6" i="1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4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9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E7" i="4" s="1"/>
  <c r="E8" i="4" s="1"/>
  <c r="D7" i="4"/>
  <c r="D8" i="4" s="1"/>
  <c r="D9" i="4" s="1"/>
  <c r="D10" i="4" s="1"/>
  <c r="D5" i="4"/>
  <c r="F8" i="4"/>
  <c r="F9" i="4" s="1"/>
  <c r="F15" i="4" s="1"/>
  <c r="F5" i="4"/>
  <c r="E5" i="4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E25" i="4"/>
  <c r="G25" i="4" s="1"/>
  <c r="E26" i="4"/>
  <c r="G26" i="4" s="1"/>
  <c r="E30" i="4" s="1"/>
  <c r="I36" i="1" l="1"/>
  <c r="F45" i="1"/>
  <c r="G15" i="4"/>
  <c r="F42" i="1" l="1"/>
  <c r="E42" i="1" s="1"/>
  <c r="F48" i="1" s="1"/>
  <c r="F34" i="4"/>
  <c r="E34" i="4" l="1"/>
  <c r="C11" i="1"/>
  <c r="D12" i="5"/>
  <c r="D5" i="5" l="1"/>
  <c r="E5" i="5" s="1"/>
  <c r="E64" i="5"/>
  <c r="D64" i="5" l="1"/>
  <c r="E7" i="5" l="1"/>
  <c r="D7" i="5" s="1"/>
  <c r="D8" i="5" s="1"/>
  <c r="E8" i="5" s="1"/>
  <c r="C30" i="4" l="1"/>
  <c r="D30" i="4" s="1"/>
  <c r="D14" i="1" l="1"/>
  <c r="F46" i="1" s="1"/>
  <c r="F14" i="1"/>
  <c r="C33" i="4"/>
  <c r="F49" i="1" l="1"/>
  <c r="E50" i="1" s="1"/>
  <c r="F50" i="1" s="1"/>
  <c r="E49" i="1"/>
  <c r="H14" i="1"/>
  <c r="F33" i="4"/>
  <c r="E33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<sst xmlns="http://schemas.openxmlformats.org/spreadsheetml/2006/main" count="436" uniqueCount="370">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</sst>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4" fontId="2" fillId="10" borderId="9" xfId="0" applyNumberFormat="1" applyFont="1" applyFill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10" borderId="13" xfId="0" applyNumberFormat="1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1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0" t="s">
        <v>303</v>
      </c>
      <c r="D3" s="401"/>
      <c r="E3" s="15"/>
      <c r="G3" s="7" t="s">
        <v>2</v>
      </c>
      <c r="I3" s="410" t="s">
        <v>3</v>
      </c>
      <c r="J3" s="411"/>
    </row>
    <row r="4" spans="1:12" ht="15.75" customHeight="1" x14ac:dyDescent="0.3">
      <c r="B4" s="5" t="s">
        <v>4</v>
      </c>
      <c r="C4" s="402" t="s">
        <v>304</v>
      </c>
      <c r="D4" s="403"/>
      <c r="E4" s="6"/>
      <c r="G4" s="5" t="s">
        <v>5</v>
      </c>
      <c r="I4" s="32">
        <v>10.64</v>
      </c>
      <c r="J4" s="33" t="s">
        <v>6</v>
      </c>
      <c r="K4" s="172"/>
    </row>
    <row r="5" spans="1:12" ht="15.75" customHeight="1" x14ac:dyDescent="0.3">
      <c r="B5" s="5" t="s">
        <v>7</v>
      </c>
      <c r="C5" s="404">
        <v>44956</v>
      </c>
      <c r="D5" s="403"/>
      <c r="E5" s="142" t="str">
        <f ca="1">IF(C5+30&gt;=TODAY(),"Patience Premium","")</f>
        <v/>
      </c>
      <c r="G5" s="5" t="s">
        <v>8</v>
      </c>
      <c r="I5" s="412">
        <v>8061262157</v>
      </c>
      <c r="J5" s="413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14">
        <f>I4*I5/1000000</f>
        <v>85771.829350480009</v>
      </c>
      <c r="J6" s="415"/>
      <c r="K6" s="171"/>
    </row>
    <row r="7" spans="1:12" ht="15.75" customHeight="1" x14ac:dyDescent="0.3">
      <c r="B7" s="159" t="s">
        <v>10</v>
      </c>
      <c r="C7" s="165">
        <f>(Data!C39)/I4</f>
        <v>3.5602446900392604E-2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14.95482253544132</v>
      </c>
      <c r="J9" s="48">
        <f>IF(I9="NNI","NNI",1/I9)</f>
        <v>6.6868061966640371E-2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0.54207567675447133</v>
      </c>
      <c r="J10" s="150">
        <f>IF(Asset_Model!D60/'FCFF Model'!C4&lt;0,"Negative EV",Asset_Model!D60/'FCFF Model'!C4)</f>
        <v>4.642352753811009</v>
      </c>
    </row>
    <row r="11" spans="1:12" ht="15.75" customHeight="1" thickBot="1" x14ac:dyDescent="0.35">
      <c r="B11" s="332" t="s">
        <v>299</v>
      </c>
      <c r="C11" s="424">
        <f ca="1">C12-D10</f>
        <v>4.1840000000000002E-2</v>
      </c>
      <c r="D11" s="425"/>
      <c r="E11" s="13"/>
      <c r="G11" s="5" t="s">
        <v>15</v>
      </c>
      <c r="H11" s="6"/>
      <c r="I11" s="422" t="s">
        <v>6</v>
      </c>
      <c r="J11" s="423"/>
    </row>
    <row r="12" spans="1:12" ht="15.75" customHeight="1" thickTop="1" x14ac:dyDescent="0.3">
      <c r="B12" s="333" t="s">
        <v>174</v>
      </c>
      <c r="C12" s="378">
        <f ca="1">IF(C10="US",6%,8%)*IF($C$5+30&gt;=TODAY(),1.2,1)</f>
        <v>0.08</v>
      </c>
      <c r="D12" s="379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10.64</v>
      </c>
      <c r="C16" s="388">
        <v>0.1</v>
      </c>
      <c r="D16" s="179">
        <f ca="1">H14/B16-1-C16</f>
        <v>-7.131359346348512E-2</v>
      </c>
      <c r="E16" s="383">
        <f>'FCFF Model'!D11*Exchange_Rate</f>
        <v>0.56000000000000005</v>
      </c>
      <c r="F16" s="181">
        <f>E16/B16</f>
        <v>5.2631578947368425E-2</v>
      </c>
      <c r="G16" s="391" t="s">
        <v>25</v>
      </c>
      <c r="H16" s="416">
        <f>('FCFF Model'!G19)*Exchange_Rate</f>
        <v>5.9834442351159485</v>
      </c>
      <c r="I16" s="391" t="s">
        <v>26</v>
      </c>
      <c r="J16" s="226">
        <f>B16-$H$16</f>
        <v>4.6565557648840521</v>
      </c>
    </row>
    <row r="17" spans="1:10" ht="15.75" customHeight="1" x14ac:dyDescent="0.3">
      <c r="B17" s="310">
        <f ca="1">H14/(1+C16)</f>
        <v>9.9502030595895619</v>
      </c>
      <c r="C17" s="389"/>
      <c r="D17" s="309">
        <f ca="1">H14/B17-1-C16</f>
        <v>0</v>
      </c>
      <c r="E17" s="384"/>
      <c r="F17" s="182">
        <f ca="1">E16/B17</f>
        <v>5.6280258467720119E-2</v>
      </c>
      <c r="G17" s="392"/>
      <c r="H17" s="417"/>
      <c r="I17" s="392"/>
      <c r="J17" s="225">
        <f ca="1">B17-$H$16</f>
        <v>3.9667588244736134</v>
      </c>
    </row>
    <row r="18" spans="1:10" ht="15.75" customHeight="1" x14ac:dyDescent="0.3">
      <c r="B18" s="365">
        <f>C35</f>
        <v>9.9</v>
      </c>
      <c r="C18" s="390"/>
      <c r="D18" s="180">
        <f ca="1">H14/B18-1-C16</f>
        <v>5.5781177321735098E-3</v>
      </c>
      <c r="E18" s="385"/>
      <c r="F18" s="183">
        <f>E16/B18</f>
        <v>5.6565656565656569E-2</v>
      </c>
      <c r="G18" s="393"/>
      <c r="H18" s="418"/>
      <c r="I18" s="393"/>
      <c r="J18" s="227">
        <f>B18-$H$16</f>
        <v>3.9165557648840519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7" t="s">
        <v>305</v>
      </c>
      <c r="D21" s="408"/>
      <c r="E21" s="408"/>
      <c r="F21" s="408"/>
      <c r="G21" s="408"/>
      <c r="H21" s="408"/>
      <c r="I21" s="408"/>
      <c r="J21" s="409"/>
    </row>
    <row r="22" spans="1:10" ht="52.5" customHeight="1" x14ac:dyDescent="0.3">
      <c r="A22" s="6"/>
      <c r="B22" s="24" t="s">
        <v>29</v>
      </c>
      <c r="C22" s="420" t="s">
        <v>307</v>
      </c>
      <c r="D22" s="421"/>
      <c r="E22" s="421"/>
      <c r="F22" s="421"/>
      <c r="G22" s="420" t="s">
        <v>309</v>
      </c>
      <c r="H22" s="420"/>
      <c r="I22" s="421"/>
      <c r="J22" s="421"/>
    </row>
    <row r="23" spans="1:10" ht="52.5" customHeight="1" x14ac:dyDescent="0.3">
      <c r="A23" s="6"/>
      <c r="B23" s="25" t="s">
        <v>30</v>
      </c>
      <c r="C23" s="386" t="s">
        <v>308</v>
      </c>
      <c r="D23" s="387"/>
      <c r="E23" s="387"/>
      <c r="F23" s="387"/>
      <c r="G23" s="386" t="s">
        <v>310</v>
      </c>
      <c r="H23" s="386"/>
      <c r="I23" s="387"/>
      <c r="J23" s="38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405">
        <v>44970</v>
      </c>
      <c r="D26" s="406"/>
      <c r="E26" s="397" t="str">
        <f>IF(C26="","","Action_Planning")</f>
        <v>Action_Planning</v>
      </c>
      <c r="F26" s="398"/>
      <c r="G26" s="398"/>
      <c r="H26" s="399"/>
      <c r="I26" s="419" t="s">
        <v>34</v>
      </c>
      <c r="J26" s="419"/>
    </row>
    <row r="27" spans="1:10" ht="15.75" customHeight="1" x14ac:dyDescent="0.3">
      <c r="B27" s="23" t="s">
        <v>35</v>
      </c>
      <c r="C27" s="382">
        <f>C31/D25</f>
        <v>6.8733333333333327E-2</v>
      </c>
      <c r="D27" s="381"/>
      <c r="E27" s="380">
        <f>E31/D25</f>
        <v>8.2500000000000004E-2</v>
      </c>
      <c r="F27" s="381"/>
      <c r="G27" s="395">
        <f>G31/D25</f>
        <v>0.26666666666666666</v>
      </c>
      <c r="H27" s="396"/>
      <c r="I27" s="394">
        <f>C27+E27+G27</f>
        <v>0.41789999999999999</v>
      </c>
      <c r="J27" s="394"/>
    </row>
    <row r="28" spans="1:10" ht="15.75" customHeight="1" x14ac:dyDescent="0.3">
      <c r="B28" s="23" t="s">
        <v>36</v>
      </c>
      <c r="C28" s="430">
        <v>4000</v>
      </c>
      <c r="D28" s="421"/>
      <c r="E28" s="430">
        <v>5000</v>
      </c>
      <c r="F28" s="421"/>
      <c r="G28" s="412">
        <v>20000</v>
      </c>
      <c r="H28" s="413"/>
      <c r="I28" s="429">
        <f>C28+E28+G28</f>
        <v>29000</v>
      </c>
      <c r="J28" s="429"/>
    </row>
    <row r="29" spans="1:10" ht="15.75" customHeight="1" x14ac:dyDescent="0.3">
      <c r="B29" s="23" t="s">
        <v>37</v>
      </c>
      <c r="C29" s="431">
        <v>10.31</v>
      </c>
      <c r="D29" s="421"/>
      <c r="E29" s="431">
        <v>9.9</v>
      </c>
      <c r="F29" s="421"/>
      <c r="G29" s="441">
        <v>8</v>
      </c>
      <c r="H29" s="442"/>
      <c r="I29" s="426"/>
      <c r="J29" s="426"/>
    </row>
    <row r="30" spans="1:10" ht="15.75" customHeight="1" x14ac:dyDescent="0.3">
      <c r="B30" s="23" t="s">
        <v>38</v>
      </c>
      <c r="C30" s="432">
        <f>C29*$I$5/1000000</f>
        <v>83111.61283867</v>
      </c>
      <c r="D30" s="433"/>
      <c r="E30" s="432">
        <f>E29*$I$5/1000000</f>
        <v>79806.495354300001</v>
      </c>
      <c r="F30" s="433"/>
      <c r="G30" s="449">
        <f>G29*$I$5/1000000</f>
        <v>64490.097256000001</v>
      </c>
      <c r="H30" s="450"/>
      <c r="I30" s="427"/>
      <c r="J30" s="427"/>
    </row>
    <row r="31" spans="1:10" ht="15.75" customHeight="1" x14ac:dyDescent="0.3">
      <c r="B31" s="2" t="s">
        <v>39</v>
      </c>
      <c r="C31" s="436">
        <f>C28*C29</f>
        <v>41240</v>
      </c>
      <c r="D31" s="437"/>
      <c r="E31" s="428">
        <f>E28*E29</f>
        <v>49500</v>
      </c>
      <c r="F31" s="438"/>
      <c r="G31" s="451">
        <f>G28*G29</f>
        <v>160000</v>
      </c>
      <c r="H31" s="452"/>
      <c r="I31" s="428">
        <f>C31+E31+G31</f>
        <v>250740</v>
      </c>
      <c r="J31" s="428"/>
    </row>
    <row r="32" spans="1:10" ht="15.75" customHeight="1" x14ac:dyDescent="0.3">
      <c r="B32" s="1" t="s">
        <v>40</v>
      </c>
      <c r="C32" s="434"/>
      <c r="D32" s="435"/>
      <c r="E32" s="439">
        <f>IF(C31=0,"-",(C31+E31)/(C28+E28))</f>
        <v>10.082222222222223</v>
      </c>
      <c r="F32" s="381"/>
      <c r="G32" s="137"/>
      <c r="H32" s="137"/>
      <c r="I32" s="439">
        <f>IF(I31=0,"",I31/I28)</f>
        <v>8.6462068965517247</v>
      </c>
      <c r="J32" s="439"/>
    </row>
    <row r="33" spans="2:10" ht="15.75" customHeight="1" x14ac:dyDescent="0.3">
      <c r="B33" s="1" t="s">
        <v>41</v>
      </c>
      <c r="C33" s="447"/>
      <c r="D33" s="448"/>
      <c r="E33" s="432">
        <f>IF(E32="-","-",E32*$I$5/1000000)</f>
        <v>81275.43645846445</v>
      </c>
      <c r="F33" s="433"/>
      <c r="G33" s="138"/>
      <c r="H33" s="138"/>
      <c r="I33" s="432">
        <f>IF(I32="","",I32*$I$5/1000000)</f>
        <v>69699.340456764825</v>
      </c>
      <c r="J33" s="432"/>
    </row>
    <row r="34" spans="2:10" ht="15.75" customHeight="1" x14ac:dyDescent="0.3"/>
    <row r="35" spans="2:10" ht="15.75" customHeight="1" x14ac:dyDescent="0.3">
      <c r="B35" s="166" t="s">
        <v>343</v>
      </c>
      <c r="C35" s="443">
        <f>E29</f>
        <v>9.9</v>
      </c>
      <c r="D35" s="444"/>
      <c r="G35" s="445" t="s">
        <v>345</v>
      </c>
      <c r="H35" s="446"/>
      <c r="I35" s="443">
        <f ca="1">'FCFF Model'!C34*0.9</f>
        <v>12.347246296726411</v>
      </c>
      <c r="J35" s="444"/>
    </row>
    <row r="36" spans="2:10" ht="15.75" customHeight="1" x14ac:dyDescent="0.3">
      <c r="B36" s="166" t="s">
        <v>344</v>
      </c>
      <c r="C36" s="430">
        <f>E28</f>
        <v>5000</v>
      </c>
      <c r="D36" s="440"/>
      <c r="G36" s="453" t="s">
        <v>355</v>
      </c>
      <c r="H36" s="453"/>
      <c r="I36" s="454">
        <f ca="1">IF(C26="",0,I35/C29-1)</f>
        <v>0.1975990588483425</v>
      </c>
      <c r="J36" s="455"/>
    </row>
    <row r="37" spans="2:10" ht="15.75" customHeight="1" x14ac:dyDescent="0.3"/>
    <row r="38" spans="2:10" ht="15.75" customHeight="1" x14ac:dyDescent="0.3">
      <c r="B38" s="21" t="s">
        <v>356</v>
      </c>
      <c r="G38" s="369" t="s">
        <v>165</v>
      </c>
      <c r="H38" s="153"/>
      <c r="I38" s="153"/>
      <c r="J38" s="153"/>
    </row>
    <row r="39" spans="2:10" ht="15.75" customHeight="1" x14ac:dyDescent="0.3">
      <c r="B39" s="3" t="s">
        <v>357</v>
      </c>
      <c r="F39" s="234">
        <f>'Qualitative Analysis'!E8</f>
        <v>0.47000000000000003</v>
      </c>
      <c r="G39" s="370"/>
      <c r="H39" s="136"/>
      <c r="I39" s="136"/>
      <c r="J39" s="136"/>
    </row>
    <row r="40" spans="2:10" ht="15.75" customHeight="1" x14ac:dyDescent="0.3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71"/>
      <c r="F41" s="372">
        <f>'Qualitative Analysis'!E64</f>
        <v>0.56680272108843543</v>
      </c>
      <c r="G41" s="370" t="s">
        <v>360</v>
      </c>
      <c r="H41" s="136"/>
      <c r="I41" s="136"/>
      <c r="J41" s="136"/>
    </row>
    <row r="42" spans="2:10" ht="15.75" customHeight="1" x14ac:dyDescent="0.3">
      <c r="B42" s="3" t="s">
        <v>368</v>
      </c>
      <c r="E42" s="371">
        <f ca="1">IF(F42="Strongly disagree",0,IF(F42="disagree",1,IF(F42="So-so",2,IF(F42="agree",3,4))))/4</f>
        <v>0.5</v>
      </c>
      <c r="F42" s="359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3">
        <v>0.7</v>
      </c>
      <c r="G43" s="136"/>
      <c r="H43" s="136"/>
      <c r="I43" s="136"/>
      <c r="J43" s="136"/>
    </row>
    <row r="44" spans="2:10" ht="15.75" customHeight="1" x14ac:dyDescent="0.3"/>
    <row r="45" spans="2:10" ht="15.75" customHeight="1" x14ac:dyDescent="0.3">
      <c r="B45" s="3" t="s">
        <v>362</v>
      </c>
      <c r="F45" s="372">
        <f ca="1">I35/C29-1</f>
        <v>0.1975990588483425</v>
      </c>
    </row>
    <row r="46" spans="2:10" ht="15.75" customHeight="1" x14ac:dyDescent="0.3">
      <c r="B46" s="3" t="s">
        <v>363</v>
      </c>
      <c r="F46" s="372">
        <f ca="1">D14/C29-1</f>
        <v>1.1617546645199539E-2</v>
      </c>
    </row>
    <row r="47" spans="2:10" ht="15.75" customHeight="1" x14ac:dyDescent="0.3"/>
    <row r="48" spans="2:10" ht="15.75" customHeight="1" x14ac:dyDescent="0.3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 x14ac:dyDescent="0.3">
      <c r="B49" s="3" t="s">
        <v>365</v>
      </c>
      <c r="E49" s="374">
        <f ca="1">F45/ABS(F46)</f>
        <v>17.008673593748124</v>
      </c>
      <c r="F49" s="375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7">
        <f ca="1">MAX(F48-ABS((1-F48)/F49),0)/2</f>
        <v>0.26131707482993199</v>
      </c>
      <c r="F50" s="376">
        <f ca="1">MIN(E50,H50)</f>
        <v>0.26131707482993199</v>
      </c>
      <c r="G50" s="377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6" t="s">
        <v>79</v>
      </c>
      <c r="E49" s="421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7">
        <v>5</v>
      </c>
      <c r="E51" s="458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9" t="s">
        <v>83</v>
      </c>
      <c r="E52" s="460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B40" sqref="B4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61">
        <f>D53+D54+D55</f>
        <v>6739518.3509999998</v>
      </c>
      <c r="E52" s="462"/>
      <c r="F52" s="53"/>
      <c r="G52" s="53"/>
    </row>
    <row r="53" spans="2:9" ht="14.5" thickTop="1" x14ac:dyDescent="0.3">
      <c r="B53" s="79" t="s">
        <v>261</v>
      </c>
      <c r="C53" s="6"/>
      <c r="D53" s="464">
        <f>SUM(I11:I13)+SUM(I28:I30)</f>
        <v>6739518.3509999998</v>
      </c>
      <c r="E53" s="437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69">
        <v>0</v>
      </c>
      <c r="E54" s="421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69">
        <v>0</v>
      </c>
      <c r="E55" s="421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63"/>
      <c r="E57" s="463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67">
        <f>((Dashboard!I6*Data!C4)+D52+E50-C58-C59)</f>
        <v>24805821.987479992</v>
      </c>
      <c r="E60" s="46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454">
        <f>((C26-C11-C12-C14-C15-C16*G16-C19*G19-C20*G20)-I26)/Data!C7</f>
        <v>0.5934554144758829</v>
      </c>
      <c r="E63" s="455"/>
    </row>
    <row r="64" spans="2:9" ht="15" customHeight="1" x14ac:dyDescent="0.3">
      <c r="B64" s="3" t="s">
        <v>292</v>
      </c>
      <c r="D64" s="465">
        <v>8.5599999999999996E-2</v>
      </c>
      <c r="E64" s="466"/>
      <c r="F64" s="286" t="s">
        <v>277</v>
      </c>
    </row>
    <row r="65" spans="2:5" ht="15" customHeight="1" x14ac:dyDescent="0.3">
      <c r="B65" s="312" t="s">
        <v>294</v>
      </c>
      <c r="D65" s="465">
        <v>0.15</v>
      </c>
      <c r="E65" s="46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F34" sqref="F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2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2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75" t="s">
        <v>256</v>
      </c>
      <c r="F23" s="475"/>
      <c r="G23" s="475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73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74"/>
      <c r="G26" s="227">
        <f ca="1">$F$25+E26+$G$19</f>
        <v>10.429776905912007</v>
      </c>
      <c r="I26" s="95" t="s">
        <v>315</v>
      </c>
    </row>
    <row r="27" spans="1:9" ht="15.75" customHeight="1" x14ac:dyDescent="0.3">
      <c r="B27" s="30"/>
      <c r="C27" s="367"/>
      <c r="D27" s="368"/>
      <c r="E27" s="143"/>
      <c r="F27" s="144"/>
      <c r="G27" s="143"/>
      <c r="I27" s="95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3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3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3">
      <c r="C32" s="470" t="s">
        <v>177</v>
      </c>
      <c r="D32" s="471"/>
      <c r="E32" s="30" t="s">
        <v>244</v>
      </c>
      <c r="F32" s="30" t="s">
        <v>18</v>
      </c>
      <c r="G32" s="30"/>
      <c r="H32" s="6"/>
    </row>
    <row r="33" spans="2:9" ht="15.75" customHeight="1" x14ac:dyDescent="0.3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3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2023-03-24T01:56:13Z</dcterms:modified>
  <cp:category/>
  <cp:contentStatus/>
</cp:coreProperties>
</file>