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D60CA61D-70EB-4FD9-A0EC-FD83F751DB91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0" i="1"/>
  <c r="I36" i="1"/>
  <c r="E26" i="1"/>
  <c r="C36" i="1"/>
  <c r="E7" i="3"/>
  <c r="E6" i="1"/>
  <c r="D12" i="4" l="1"/>
  <c r="D11" i="4"/>
  <c r="C11" i="4"/>
  <c r="C25" i="7"/>
  <c r="E25" i="7" s="1"/>
  <c r="G25" i="7" s="1"/>
  <c r="G22" i="7"/>
  <c r="C18" i="7"/>
  <c r="E18" i="7" s="1"/>
  <c r="C13" i="7"/>
  <c r="E13" i="7" s="1"/>
  <c r="C8" i="7"/>
  <c r="E8" i="7" s="1"/>
  <c r="C36" i="3"/>
  <c r="I25" i="7" l="1"/>
  <c r="E19" i="7"/>
  <c r="C19" i="7"/>
  <c r="I19" i="7" s="1"/>
  <c r="I21" i="7" s="1"/>
  <c r="G19" i="7" l="1"/>
  <c r="E21" i="7"/>
  <c r="E23" i="7" s="1"/>
  <c r="F18" i="7"/>
  <c r="D18" i="7"/>
  <c r="E24" i="7"/>
  <c r="D13" i="7"/>
  <c r="F13" i="7"/>
  <c r="D8" i="7"/>
  <c r="F8" i="7"/>
  <c r="I24" i="7"/>
  <c r="E16" i="1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4" i="4"/>
  <c r="G21" i="7" l="1"/>
  <c r="G24" i="7"/>
  <c r="D20" i="2"/>
  <c r="E20" i="2"/>
  <c r="F20" i="2"/>
  <c r="G20" i="2"/>
  <c r="H20" i="2"/>
  <c r="I20" i="2"/>
  <c r="J20" i="2"/>
  <c r="K20" i="2"/>
  <c r="L20" i="2"/>
  <c r="M20" i="2"/>
  <c r="C20" i="2"/>
  <c r="I20" i="7" l="1"/>
  <c r="I23" i="7" s="1"/>
  <c r="G16" i="3"/>
  <c r="G20" i="7" l="1"/>
  <c r="G23" i="7" s="1"/>
  <c r="I28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6" i="7" l="1"/>
  <c r="I4" i="3" l="1"/>
  <c r="D4" i="3"/>
  <c r="D6" i="1"/>
  <c r="E9" i="3"/>
  <c r="C3" i="7" l="1"/>
  <c r="C29" i="4"/>
  <c r="C3" i="4" l="1"/>
  <c r="E3" i="7"/>
  <c r="C15" i="4"/>
  <c r="B3" i="4"/>
  <c r="C17" i="4" s="1"/>
  <c r="C21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22" i="7"/>
  <c r="C24" i="7"/>
  <c r="B3" i="7"/>
  <c r="C23" i="7"/>
  <c r="C28" i="7" s="1"/>
  <c r="C31" i="7" s="1"/>
  <c r="E20" i="7"/>
  <c r="C4" i="4" l="1"/>
  <c r="C7" i="4" s="1"/>
  <c r="C8" i="4" s="1"/>
  <c r="C9" i="4" s="1"/>
  <c r="C10" i="4" s="1"/>
  <c r="C30" i="7"/>
  <c r="I32" i="3"/>
  <c r="C26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28" i="7" l="1"/>
  <c r="E29" i="7" s="1"/>
  <c r="E31" i="7" s="1"/>
  <c r="E30" i="7" s="1"/>
  <c r="D52" i="3"/>
  <c r="C20" i="4" s="1"/>
  <c r="D20" i="4" s="1"/>
  <c r="I53" i="3"/>
  <c r="C44" i="3"/>
  <c r="C25" i="3"/>
  <c r="I7" i="3" s="1"/>
  <c r="E27" i="7" l="1"/>
  <c r="G28" i="7"/>
  <c r="G27" i="7" s="1"/>
  <c r="D4" i="4"/>
  <c r="E26" i="7"/>
  <c r="C45" i="3"/>
  <c r="E12" i="3"/>
  <c r="G29" i="7" l="1"/>
  <c r="I29" i="7" s="1"/>
  <c r="I31" i="7" s="1"/>
  <c r="F4" i="4" s="1"/>
  <c r="F7" i="4" s="1"/>
  <c r="F8" i="4" s="1"/>
  <c r="F9" i="4" s="1"/>
  <c r="G26" i="7"/>
  <c r="I27" i="7"/>
  <c r="I3" i="7" s="1"/>
  <c r="F3" i="4" s="1"/>
  <c r="G4" i="4" s="1"/>
  <c r="B24" i="4" s="1"/>
  <c r="G2" i="4" s="1"/>
  <c r="D7" i="4"/>
  <c r="D8" i="4" s="1"/>
  <c r="D9" i="4" s="1"/>
  <c r="D10" i="4" s="1"/>
  <c r="D5" i="4"/>
  <c r="D53" i="5"/>
  <c r="I30" i="7" l="1"/>
  <c r="G31" i="7"/>
  <c r="E4" i="4" s="1"/>
  <c r="E35" i="3"/>
  <c r="G30" i="7" l="1"/>
  <c r="E7" i="4"/>
  <c r="E8" i="4" s="1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G30" i="1"/>
  <c r="E30" i="1"/>
  <c r="I28" i="1"/>
  <c r="I6" i="1"/>
  <c r="C2" i="1"/>
  <c r="D63" i="3" l="1"/>
  <c r="D65" i="3" s="1"/>
  <c r="D33" i="2" s="1"/>
  <c r="D34" i="2" s="1"/>
  <c r="I6" i="3"/>
  <c r="D36" i="5"/>
  <c r="E33" i="2"/>
  <c r="E34" i="2" s="1"/>
  <c r="D6" i="5"/>
  <c r="D55" i="5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3" i="2" l="1"/>
  <c r="C34" i="2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l="1"/>
  <c r="F15" i="4"/>
  <c r="F25" i="4" s="1"/>
  <c r="G8" i="4" l="1"/>
  <c r="G9" i="4" s="1"/>
  <c r="G12" i="4" l="1"/>
  <c r="C34" i="4" s="1"/>
  <c r="I35" i="1" s="1"/>
  <c r="E25" i="4"/>
  <c r="G25" i="4" s="1"/>
  <c r="E26" i="4"/>
  <c r="G26" i="4" s="1"/>
  <c r="E30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F14" i="1" s="1"/>
  <c r="C33" i="4" l="1"/>
  <c r="H14" i="1" s="1"/>
  <c r="J25" i="1" s="1"/>
  <c r="D14" i="1"/>
  <c r="D30" i="4"/>
  <c r="E33" i="4" l="1"/>
  <c r="F33" i="4"/>
  <c r="D16" i="1"/>
  <c r="B17" i="1"/>
  <c r="C29" i="1" s="1"/>
  <c r="C35" i="1" l="1"/>
  <c r="B18" i="1" s="1"/>
  <c r="D18" i="1" s="1"/>
  <c r="F45" i="1"/>
  <c r="F46" i="1"/>
  <c r="F17" i="1"/>
  <c r="C31" i="1"/>
  <c r="C27" i="1" s="1"/>
  <c r="I27" i="1" s="1"/>
  <c r="J17" i="1"/>
  <c r="D17" i="1"/>
  <c r="C30" i="1"/>
  <c r="F18" i="1"/>
  <c r="J18" i="1" l="1"/>
  <c r="E32" i="1"/>
  <c r="E33" i="1" s="1"/>
  <c r="F49" i="1"/>
  <c r="F42" i="1"/>
  <c r="E42" i="1" s="1"/>
  <c r="F48" i="1" s="1"/>
  <c r="E49" i="1"/>
  <c r="I31" i="1"/>
  <c r="I32" i="1" s="1"/>
  <c r="I33" i="1" s="1"/>
  <c r="E50" i="1" l="1"/>
  <c r="F50" i="1" s="1"/>
</calcChain>
</file>

<file path=xl/sharedStrings.xml><?xml version="1.0" encoding="utf-8"?>
<sst xmlns="http://schemas.openxmlformats.org/spreadsheetml/2006/main" count="418" uniqueCount="348">
  <si>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</si>
  <si>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</si>
  <si>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</si>
  <si>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</si>
  <si>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</si>
  <si>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</si>
  <si>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</si>
  <si>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</si>
  <si>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</si>
  <si>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</si>
  <si>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</si>
  <si>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</si>
  <si>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</si>
  <si>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</si>
  <si>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</si>
  <si>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</si>
  <si>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</si>
  <si>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</si>
  <si>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</si>
  <si>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</si>
  <si>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</si>
  <si>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</si>
  <si>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</si>
  <si>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</si>
  <si>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</si>
  <si>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</si>
  <si>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</si>
  <si>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</si>
  <si>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</si>
  <si>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</si>
  <si>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</si>
  <si>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</si>
  <si>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</si>
  <si>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</si>
  <si>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</si>
  <si>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</si>
  <si>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</si>
  <si>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</si>
  <si>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</si>
  <si>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</si>
  <si>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</si>
  <si>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</si>
  <si>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</si>
  <si>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</si>
  <si>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</si>
  <si>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</si>
  <si>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</si>
  <si>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</si>
  <si>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</si>
  <si>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</si>
  <si>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</si>
  <si>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</si>
  <si>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</si>
  <si>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</si>
  <si>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</si>
  <si>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</si>
  <si>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</si>
  <si>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</si>
  <si>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</si>
  <si>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</si>
  <si>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</si>
  <si>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</si>
  <si>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</si>
  <si>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</si>
  <si>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</si>
  <si>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</si>
  <si>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</si>
  <si>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</si>
  <si>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</si>
  <si>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</si>
  <si>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</si>
  <si>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</si>
  <si>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</si>
  <si>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</si>
  <si>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</si>
  <si>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</si>
  <si>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</si>
  <si>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</si>
  <si>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</si>
  <si>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</si>
  <si>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</si>
  <si>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</si>
  <si>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</si>
  <si>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</si>
  <si>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</si>
  <si>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</si>
  <si>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</si>
  <si>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</si>
  <si>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</si>
  <si>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</si>
  <si>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</si>
  <si>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</si>
  <si>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</si>
  <si>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</si>
  <si>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</si>
  <si>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</si>
  <si>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</si>
  <si>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</si>
  <si>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</si>
  <si>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</si>
  <si>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</si>
  <si>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</si>
  <si>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</si>
  <si>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</si>
  <si>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</si>
  <si>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</si>
  <si>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</si>
  <si>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</si>
  <si>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</si>
  <si>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</si>
  <si>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</si>
  <si>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</si>
  <si>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</si>
  <si>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</si>
  <si>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</si>
  <si>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</si>
  <si>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</si>
  <si>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</si>
  <si>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</si>
  <si>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</si>
  <si>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</si>
  <si>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</si>
  <si>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</si>
  <si>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</si>
  <si>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</si>
  <si>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</si>
  <si>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</si>
  <si>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</si>
  <si>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</si>
  <si>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</si>
  <si>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</si>
  <si>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</si>
  <si>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</si>
  <si>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</si>
  <si>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</si>
  <si>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</si>
  <si>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</si>
  <si>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</si>
  <si>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</si>
  <si>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</si>
  <si>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</si>
  <si>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</si>
  <si>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</si>
  <si>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</si>
  <si>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</si>
  <si>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</si>
  <si>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</si>
  <si>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</si>
  <si>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</si>
  <si>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</si>
  <si>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</si>
  <si>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</si>
  <si>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</si>
  <si>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</si>
  <si>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</si>
  <si>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</si>
  <si>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</si>
  <si>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</si>
  <si>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</si>
  <si>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</si>
  <si>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</si>
  <si>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</si>
  <si>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</si>
  <si>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</si>
  <si>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</si>
  <si>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</si>
  <si>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</si>
  <si>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</si>
  <si>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</si>
  <si>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</si>
  <si>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</si>
  <si>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</si>
  <si>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</si>
  <si>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</si>
  <si>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</si>
  <si>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</si>
  <si>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</si>
  <si>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</si>
  <si>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</si>
  <si>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</si>
  <si>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</si>
  <si>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</si>
  <si>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</si>
  <si>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</si>
  <si>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</si>
  <si>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</si>
  <si>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</si>
  <si>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</si>
  <si>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</si>
  <si>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</si>
  <si>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</si>
  <si>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</si>
  <si>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</si>
  <si>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</si>
  <si>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</si>
  <si>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</si>
  <si>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</si>
  <si>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</si>
  <si>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</si>
  <si>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</si>
  <si>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</si>
  <si>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</si>
  <si>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</si>
  <si>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</si>
  <si>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</si>
  <si>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</si>
  <si>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</si>
  <si>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</si>
  <si>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</si>
  <si>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</si>
  <si>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</si>
  <si>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</si>
  <si>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</si>
  <si>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</si>
  <si>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</si>
  <si>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</si>
  <si>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</si>
  <si>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</si>
  <si>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</si>
  <si>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</si>
  <si>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</si>
  <si>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</si>
  <si>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</si>
  <si>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</si>
  <si>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</si>
  <si>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</si>
  <si>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</si>
  <si>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</si>
  <si>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</si>
  <si>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</si>
  <si>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</si>
  <si>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</si>
  <si>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</si>
  <si>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</si>
  <si>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</si>
  <si>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</si>
  <si>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</si>
  <si>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</si>
  <si>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</si>
  <si>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</si>
  <si>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</si>
  <si>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</si>
  <si>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</si>
  <si>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</si>
  <si>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</si>
  <si>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</si>
  <si>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</si>
  <si>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</si>
  <si>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</si>
  <si>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</si>
  <si>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</si>
  <si>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</si>
  <si>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</si>
  <si>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</si>
  <si>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</si>
  <si>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</si>
  <si>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</si>
  <si>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</si>
  <si>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</si>
  <si>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</si>
  <si>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</si>
  <si>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</si>
  <si>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</si>
  <si>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</si>
  <si>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</si>
  <si>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</si>
  <si>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</si>
  <si>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</si>
  <si>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</si>
  <si>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</si>
  <si>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Cyclicals</t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</si>
  <si>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</si>
  <si>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</si>
  <si>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</si>
  <si>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</si>
  <si>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</si>
  <si>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</si>
  <si>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</si>
  <si>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</si>
  <si>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</si>
  <si>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</si>
  <si>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</si>
  <si>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</si>
  <si>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</si>
  <si>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</si>
  <si>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</si>
  <si>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</si>
  <si>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The company disclosure on revenue detail is lagging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</si>
  <si>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</si>
  <si>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</si>
  <si>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</si>
  <si>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</si>
  <si>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</si>
  <si>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</si>
  <si>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</si>
  <si>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</si>
  <si>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</si>
  <si>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</si>
  <si>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</si>
  <si>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</si>
  <si>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</si>
  <si>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</si>
  <si>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</si>
  <si>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</si>
  <si>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</si>
  <si>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</si>
  <si>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</si>
  <si>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</si>
  <si>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</si>
  <si>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</si>
  <si>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</si>
  <si>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0303.HK</t>
  </si>
  <si>
    <t>VTECH HOLDINGS</t>
  </si>
  <si>
    <t>USD</t>
  </si>
  <si>
    <t>北美洲</t>
  </si>
  <si>
    <t>歐洲</t>
  </si>
  <si>
    <t>亞太區</t>
  </si>
  <si>
    <t>其他地區</t>
  </si>
  <si>
    <t>電子學習產品</t>
  </si>
  <si>
    <t>電訊產品</t>
  </si>
  <si>
    <t>承包生產服務</t>
  </si>
  <si>
    <t>Consumer Discretionary, 12.4y</t>
  </si>
  <si>
    <t>Considered a stable business</t>
  </si>
  <si>
    <t>The dividend is too high for this company to bear</t>
  </si>
  <si>
    <t xml:space="preserve">Ideal Excess Return after MOS = </t>
  </si>
  <si>
    <t>Ideal price =</t>
  </si>
  <si>
    <t>Next Buy Price =</t>
  </si>
  <si>
    <t>Next Sell Price =</t>
  </si>
  <si>
    <t>Next Buy Shares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</si>
  <si>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</si>
  <si>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</si>
  <si>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</si>
  <si>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</si>
  <si>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</si>
  <si>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</si>
  <si>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</si>
  <si>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</si>
  <si>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</si>
  <si>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</si>
  <si>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</si>
  <si>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</si>
  <si>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</si>
  <si>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</si>
  <si>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</si>
  <si>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</si>
  <si>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Export oriented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</si>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</sst>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indexed="64"/>
      </top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9" fontId="2" fillId="0" borderId="106" xfId="0" applyNumberFormat="1" applyFont="1" applyBorder="1" applyAlignment="1">
      <alignment horizontal="center"/>
    </xf>
    <xf numFmtId="9" fontId="2" fillId="0" borderId="107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5" zoomScaleNormal="100" workbookViewId="0">
      <selection activeCell="B44" sqref="B4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0303.HK : VTECH HOLDINGS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24" t="s">
        <v>311</v>
      </c>
      <c r="D3" s="425"/>
      <c r="E3" s="15"/>
      <c r="G3" s="7" t="s">
        <v>2</v>
      </c>
      <c r="I3" s="434" t="s">
        <v>3</v>
      </c>
      <c r="J3" s="435"/>
    </row>
    <row r="4" spans="1:12" ht="15.75" customHeight="1" x14ac:dyDescent="0.3">
      <c r="B4" s="5" t="s">
        <v>4</v>
      </c>
      <c r="C4" s="426" t="s">
        <v>312</v>
      </c>
      <c r="D4" s="427"/>
      <c r="E4" s="6"/>
      <c r="G4" s="5" t="s">
        <v>5</v>
      </c>
      <c r="I4" s="32">
        <v>46.95</v>
      </c>
      <c r="J4" s="33" t="s">
        <v>6</v>
      </c>
      <c r="K4" s="151"/>
    </row>
    <row r="5" spans="1:12" ht="15.75" customHeight="1" x14ac:dyDescent="0.3">
      <c r="B5" s="5" t="s">
        <v>7</v>
      </c>
      <c r="C5" s="428">
        <v>44986</v>
      </c>
      <c r="D5" s="427"/>
      <c r="E5" s="121" t="str">
        <f ca="1">IF(C5+30&gt;=TODAY(),"Patience Premium","")</f>
        <v>Patience Premium</v>
      </c>
      <c r="G5" s="5" t="s">
        <v>8</v>
      </c>
      <c r="I5" s="417">
        <v>252702000</v>
      </c>
      <c r="J5" s="418"/>
      <c r="K5" s="150"/>
      <c r="L5" s="85"/>
    </row>
    <row r="6" spans="1:12" ht="15.75" customHeight="1" x14ac:dyDescent="0.3">
      <c r="B6" s="12" t="s">
        <v>256</v>
      </c>
      <c r="C6" s="269">
        <v>8</v>
      </c>
      <c r="D6" s="270">
        <f>EOMONTH(EDATE(Asset_Model!D9,C6),0)</f>
        <v>45077</v>
      </c>
      <c r="E6" s="354">
        <f>Data!C3</f>
        <v>44651</v>
      </c>
      <c r="G6" s="133" t="s">
        <v>9</v>
      </c>
      <c r="H6" s="132"/>
      <c r="I6" s="436">
        <f>I4*I5/1000000</f>
        <v>11864.358899999999</v>
      </c>
      <c r="J6" s="437"/>
      <c r="K6" s="150"/>
    </row>
    <row r="7" spans="1:12" ht="15.75" customHeight="1" x14ac:dyDescent="0.3">
      <c r="B7" s="138" t="s">
        <v>10</v>
      </c>
      <c r="C7" s="144">
        <f>(Data!C39*Exchange_Rate)/I4</f>
        <v>0.15192480339757078</v>
      </c>
      <c r="D7" s="144">
        <f>(Data!C40*Exchange_Rate)/I4</f>
        <v>1.0582485217070668E-3</v>
      </c>
      <c r="E7" s="152"/>
      <c r="F7" s="6"/>
    </row>
    <row r="8" spans="1:12" ht="15.75" customHeight="1" x14ac:dyDescent="0.3">
      <c r="C8" s="95"/>
      <c r="E8" s="6"/>
      <c r="G8" s="21" t="s">
        <v>11</v>
      </c>
      <c r="H8" s="131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0">
        <f>IF(Data!F3&lt;=0,"NNI",I4/((Data!F3*I12)/(I5/Data!C4)))</f>
        <v>8.7546739159569711</v>
      </c>
      <c r="J9" s="48">
        <f>IF(I9="NNI","NNI",1/I9)</f>
        <v>0.11422469981175652</v>
      </c>
    </row>
    <row r="10" spans="1:12" ht="15.75" customHeight="1" x14ac:dyDescent="0.3">
      <c r="B10" s="3" t="s">
        <v>275</v>
      </c>
      <c r="C10" s="299" t="s">
        <v>276</v>
      </c>
      <c r="D10" s="299">
        <v>2.8999999999999998E-2</v>
      </c>
      <c r="E10" s="5"/>
      <c r="G10" s="5" t="s">
        <v>14</v>
      </c>
      <c r="I10" s="137">
        <f>I4/(Data!C28*I12*Data!C4/Common_Shares)</f>
        <v>2.2273603201027825</v>
      </c>
      <c r="J10" s="129">
        <f>IF(Asset_Model!D60/'FCFF Model'!C4&lt;0,"Negative EV",Asset_Model!D60/'FCFF Model'!C4)</f>
        <v>78.501281775167229</v>
      </c>
    </row>
    <row r="11" spans="1:12" ht="15.75" customHeight="1" thickBot="1" x14ac:dyDescent="0.35">
      <c r="B11" s="312" t="s">
        <v>278</v>
      </c>
      <c r="C11" s="445">
        <f ca="1">C12-D10</f>
        <v>6.7000000000000004E-2</v>
      </c>
      <c r="D11" s="446"/>
      <c r="E11" s="13"/>
      <c r="G11" s="5" t="s">
        <v>15</v>
      </c>
      <c r="H11" s="6"/>
      <c r="I11" s="443" t="s">
        <v>313</v>
      </c>
      <c r="J11" s="444"/>
    </row>
    <row r="12" spans="1:12" ht="15.75" customHeight="1" thickTop="1" x14ac:dyDescent="0.3">
      <c r="B12" s="313" t="s">
        <v>150</v>
      </c>
      <c r="C12" s="374">
        <f ca="1">IF(C10="CN",8%,6%)*IF($C$5+30&gt;=TODAY(),1.2,1)</f>
        <v>9.6000000000000002E-2</v>
      </c>
      <c r="D12" s="375"/>
      <c r="G12" s="133" t="s">
        <v>16</v>
      </c>
      <c r="H12" s="132"/>
      <c r="I12" s="134">
        <v>7.8471501668294268</v>
      </c>
      <c r="J12" s="135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6" t="s">
        <v>217</v>
      </c>
      <c r="D14" s="183">
        <f ca="1">MIN('FCFF Model'!C30,'FCFF Model'!E30)</f>
        <v>21.386628436682489</v>
      </c>
      <c r="E14" s="126" t="s">
        <v>234</v>
      </c>
      <c r="F14" s="183">
        <f ca="1">MAX('FCFF Model'!C30,'FCFF Model'!E30)</f>
        <v>38.128437296726545</v>
      </c>
      <c r="G14" s="184" t="s">
        <v>24</v>
      </c>
      <c r="H14" s="192">
        <f ca="1">IF('FCFF Model'!C33&lt;0, "Error", 'FCFF Model'!C33)</f>
        <v>31.495349709855518</v>
      </c>
      <c r="I14" s="132"/>
      <c r="J14" s="132"/>
    </row>
    <row r="15" spans="1:12" ht="15.75" customHeight="1" x14ac:dyDescent="0.3">
      <c r="A15" s="6"/>
      <c r="B15" s="95"/>
      <c r="C15" s="237" t="s">
        <v>250</v>
      </c>
      <c r="D15" s="88" t="s">
        <v>19</v>
      </c>
      <c r="E15" s="88" t="s">
        <v>20</v>
      </c>
      <c r="F15" s="88" t="s">
        <v>21</v>
      </c>
      <c r="G15" s="138"/>
      <c r="H15" s="60" t="s">
        <v>23</v>
      </c>
      <c r="J15" s="127" t="s">
        <v>22</v>
      </c>
    </row>
    <row r="16" spans="1:12" ht="15.75" customHeight="1" x14ac:dyDescent="0.3">
      <c r="B16" s="130">
        <f>I4</f>
        <v>46.95</v>
      </c>
      <c r="C16" s="382">
        <v>0.1</v>
      </c>
      <c r="D16" s="158">
        <f ca="1">H14/B16-1-C16</f>
        <v>-0.42917253014152257</v>
      </c>
      <c r="E16" s="379">
        <f>'FCFF Model'!D11*Exchange_Rate</f>
        <v>3.6881605784098306</v>
      </c>
      <c r="F16" s="160">
        <f>E16/B16</f>
        <v>7.8555070892648141E-2</v>
      </c>
      <c r="G16" s="407" t="s">
        <v>25</v>
      </c>
      <c r="H16" s="438">
        <f>('FCFF Model'!G19)*Exchange_Rate</f>
        <v>-5.1510683321606692</v>
      </c>
      <c r="I16" s="407" t="s">
        <v>26</v>
      </c>
      <c r="J16" s="205">
        <f>B16-$H$16</f>
        <v>52.101068332160672</v>
      </c>
    </row>
    <row r="17" spans="1:10" ht="15.75" customHeight="1" x14ac:dyDescent="0.3">
      <c r="B17" s="289">
        <f ca="1">H14/(1+C16)</f>
        <v>28.632136099868649</v>
      </c>
      <c r="C17" s="383"/>
      <c r="D17" s="288">
        <f ca="1">H14/B17-1-C16</f>
        <v>0</v>
      </c>
      <c r="E17" s="380"/>
      <c r="F17" s="161">
        <f ca="1">E16/B17</f>
        <v>0.12881192536755057</v>
      </c>
      <c r="G17" s="408"/>
      <c r="H17" s="439"/>
      <c r="I17" s="408"/>
      <c r="J17" s="204">
        <f ca="1">B17-$H$16</f>
        <v>33.783204432029322</v>
      </c>
    </row>
    <row r="18" spans="1:10" ht="15.75" customHeight="1" x14ac:dyDescent="0.3">
      <c r="B18" s="357">
        <f ca="1">C35</f>
        <v>28.632136099868649</v>
      </c>
      <c r="C18" s="384"/>
      <c r="D18" s="159">
        <f ca="1">H14/B18-1-C16</f>
        <v>0</v>
      </c>
      <c r="E18" s="381"/>
      <c r="F18" s="162">
        <f ca="1">E16/B18</f>
        <v>0.12881192536755057</v>
      </c>
      <c r="G18" s="409"/>
      <c r="H18" s="440"/>
      <c r="I18" s="409"/>
      <c r="J18" s="206">
        <f ca="1">B18-$H$16</f>
        <v>33.783204432029322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0" t="s">
        <v>270</v>
      </c>
      <c r="E20" s="265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31"/>
      <c r="D21" s="432"/>
      <c r="E21" s="432"/>
      <c r="F21" s="432"/>
      <c r="G21" s="432"/>
      <c r="H21" s="432"/>
      <c r="I21" s="432"/>
      <c r="J21" s="433"/>
    </row>
    <row r="22" spans="1:10" ht="52.5" customHeight="1" x14ac:dyDescent="0.3">
      <c r="A22" s="6"/>
      <c r="B22" s="24" t="s">
        <v>29</v>
      </c>
      <c r="C22" s="442"/>
      <c r="D22" s="386"/>
      <c r="E22" s="386"/>
      <c r="F22" s="386"/>
      <c r="G22" s="442"/>
      <c r="H22" s="442"/>
      <c r="I22" s="386"/>
      <c r="J22" s="386"/>
    </row>
    <row r="23" spans="1:10" ht="52.5" customHeight="1" x14ac:dyDescent="0.3">
      <c r="A23" s="6"/>
      <c r="B23" s="25" t="s">
        <v>30</v>
      </c>
      <c r="C23" s="405"/>
      <c r="D23" s="406"/>
      <c r="E23" s="406"/>
      <c r="F23" s="406"/>
      <c r="G23" s="405"/>
      <c r="H23" s="405"/>
      <c r="I23" s="406"/>
      <c r="J23" s="406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5">
        <v>0.15</v>
      </c>
      <c r="I25" s="30" t="s">
        <v>325</v>
      </c>
      <c r="J25" s="356">
        <f ca="1">H14/(H25+C16+1)</f>
        <v>25.196279767884413</v>
      </c>
    </row>
    <row r="26" spans="1:10" ht="15.75" customHeight="1" x14ac:dyDescent="0.3">
      <c r="B26" s="23" t="s">
        <v>33</v>
      </c>
      <c r="C26" s="429"/>
      <c r="D26" s="430"/>
      <c r="E26" s="387" t="str">
        <f>IF(C26="","","Action_Planning")</f>
        <v/>
      </c>
      <c r="F26" s="388"/>
      <c r="G26" s="388"/>
      <c r="H26" s="389"/>
      <c r="I26" s="441" t="s">
        <v>34</v>
      </c>
      <c r="J26" s="441"/>
    </row>
    <row r="27" spans="1:10" ht="15.75" customHeight="1" x14ac:dyDescent="0.3">
      <c r="B27" s="23" t="s">
        <v>35</v>
      </c>
      <c r="C27" s="378">
        <f ca="1">C31/D25</f>
        <v>0.14316068049934325</v>
      </c>
      <c r="D27" s="377"/>
      <c r="E27" s="376">
        <f>E31/D25</f>
        <v>0</v>
      </c>
      <c r="F27" s="377"/>
      <c r="G27" s="411">
        <f>G31/D25</f>
        <v>0</v>
      </c>
      <c r="H27" s="412"/>
      <c r="I27" s="410">
        <f ca="1">C27+E27+G27</f>
        <v>0.14316068049934325</v>
      </c>
      <c r="J27" s="410"/>
    </row>
    <row r="28" spans="1:10" ht="15.75" customHeight="1" x14ac:dyDescent="0.3">
      <c r="B28" s="23" t="s">
        <v>36</v>
      </c>
      <c r="C28" s="372">
        <v>3000</v>
      </c>
      <c r="D28" s="386"/>
      <c r="E28" s="372"/>
      <c r="F28" s="386"/>
      <c r="G28" s="417"/>
      <c r="H28" s="418"/>
      <c r="I28" s="421">
        <f>C28+E28+G28</f>
        <v>3000</v>
      </c>
      <c r="J28" s="421"/>
    </row>
    <row r="29" spans="1:10" ht="15.75" customHeight="1" x14ac:dyDescent="0.3">
      <c r="B29" s="23" t="s">
        <v>37</v>
      </c>
      <c r="C29" s="385">
        <f ca="1">B17</f>
        <v>28.632136099868649</v>
      </c>
      <c r="D29" s="386"/>
      <c r="E29" s="385"/>
      <c r="F29" s="386"/>
      <c r="G29" s="413"/>
      <c r="H29" s="414"/>
      <c r="I29" s="419"/>
      <c r="J29" s="419"/>
    </row>
    <row r="30" spans="1:10" ht="15.75" customHeight="1" x14ac:dyDescent="0.3">
      <c r="B30" s="23" t="s">
        <v>38</v>
      </c>
      <c r="C30" s="398">
        <f ca="1">C29*$I$5/1000000</f>
        <v>7235.3980567090075</v>
      </c>
      <c r="D30" s="399"/>
      <c r="E30" s="398">
        <f>E29*$I$5/1000000</f>
        <v>0</v>
      </c>
      <c r="F30" s="399"/>
      <c r="G30" s="415">
        <f>G29*$I$5/1000000</f>
        <v>0</v>
      </c>
      <c r="H30" s="416"/>
      <c r="I30" s="420"/>
      <c r="J30" s="420"/>
    </row>
    <row r="31" spans="1:10" ht="15.75" customHeight="1" x14ac:dyDescent="0.3">
      <c r="B31" s="2" t="s">
        <v>39</v>
      </c>
      <c r="C31" s="400">
        <f ca="1">C28*C29</f>
        <v>85896.408299605944</v>
      </c>
      <c r="D31" s="401"/>
      <c r="E31" s="402">
        <f>E28*E29</f>
        <v>0</v>
      </c>
      <c r="F31" s="403"/>
      <c r="G31" s="422">
        <f>G28*G29</f>
        <v>0</v>
      </c>
      <c r="H31" s="423"/>
      <c r="I31" s="402">
        <f ca="1">C31+E31+G31</f>
        <v>85896.408299605944</v>
      </c>
      <c r="J31" s="402"/>
    </row>
    <row r="32" spans="1:10" ht="15.75" customHeight="1" x14ac:dyDescent="0.3">
      <c r="B32" s="1" t="s">
        <v>40</v>
      </c>
      <c r="C32" s="394"/>
      <c r="D32" s="395"/>
      <c r="E32" s="404">
        <f ca="1">IF(C31=0,"-",(C31+E31)/(C28+E28))</f>
        <v>28.632136099868649</v>
      </c>
      <c r="F32" s="377"/>
      <c r="G32" s="116"/>
      <c r="H32" s="116"/>
      <c r="I32" s="404">
        <f ca="1">IF(I31=0,"",I31/I28)</f>
        <v>28.632136099868649</v>
      </c>
      <c r="J32" s="404"/>
    </row>
    <row r="33" spans="2:10" ht="15.75" customHeight="1" x14ac:dyDescent="0.3">
      <c r="B33" s="1" t="s">
        <v>41</v>
      </c>
      <c r="C33" s="396"/>
      <c r="D33" s="397"/>
      <c r="E33" s="398">
        <f ca="1">IF(E32="-","-",E32*$I$5/1000000)</f>
        <v>7235.3980567090075</v>
      </c>
      <c r="F33" s="399"/>
      <c r="G33" s="117"/>
      <c r="H33" s="117"/>
      <c r="I33" s="398">
        <f ca="1">IF(I32="","",I32*$I$5/1000000)</f>
        <v>7235.3980567090075</v>
      </c>
      <c r="J33" s="398"/>
    </row>
    <row r="34" spans="2:10" ht="15.75" customHeight="1" x14ac:dyDescent="0.3"/>
    <row r="35" spans="2:10" ht="15.75" customHeight="1" x14ac:dyDescent="0.3">
      <c r="B35" s="145" t="s">
        <v>326</v>
      </c>
      <c r="C35" s="390">
        <f ca="1">C29</f>
        <v>28.632136099868649</v>
      </c>
      <c r="D35" s="391"/>
      <c r="G35" s="392" t="s">
        <v>327</v>
      </c>
      <c r="H35" s="393"/>
      <c r="I35" s="390">
        <f ca="1">'FCFF Model'!C34</f>
        <v>44.060370382556357</v>
      </c>
      <c r="J35" s="391"/>
    </row>
    <row r="36" spans="2:10" ht="15.75" customHeight="1" x14ac:dyDescent="0.3">
      <c r="B36" s="145" t="s">
        <v>328</v>
      </c>
      <c r="C36" s="372">
        <f>C28</f>
        <v>3000</v>
      </c>
      <c r="D36" s="373"/>
      <c r="G36" s="369" t="s">
        <v>332</v>
      </c>
      <c r="H36" s="369"/>
      <c r="I36" s="370">
        <f>IF(C26="",0,I35/C29-1)</f>
        <v>0</v>
      </c>
      <c r="J36" s="371"/>
    </row>
    <row r="37" spans="2:10" ht="15.75" customHeight="1" x14ac:dyDescent="0.3"/>
    <row r="38" spans="2:10" ht="15.75" customHeight="1" x14ac:dyDescent="0.3">
      <c r="B38" s="21" t="s">
        <v>333</v>
      </c>
      <c r="G38" s="345" t="s">
        <v>141</v>
      </c>
      <c r="H38" s="132"/>
      <c r="I38" s="132"/>
      <c r="J38" s="132"/>
    </row>
    <row r="39" spans="2:10" ht="15.75" customHeight="1" x14ac:dyDescent="0.3">
      <c r="B39" s="3" t="s">
        <v>334</v>
      </c>
      <c r="F39" s="213">
        <f>'Qualitative Analysis'!E8</f>
        <v>0.72</v>
      </c>
      <c r="G39" s="358"/>
      <c r="H39" s="115"/>
      <c r="I39" s="115"/>
      <c r="J39" s="115"/>
    </row>
    <row r="40" spans="2:10" ht="15.75" customHeight="1" x14ac:dyDescent="0.3">
      <c r="B40" s="3" t="s">
        <v>335</v>
      </c>
      <c r="F40" s="213">
        <f>80%-(5%*IF(LEFT(D20,2)="St",1,IF(LEFT(D20,2)="Sl",2,IF(LEFT(D20,2)="Cy",3,IF(LEFT(D20,2)="Fa",4,IF(LEFT(D20,2)="Tu",5,0))))))</f>
        <v>0.65</v>
      </c>
      <c r="G40" s="74"/>
      <c r="H40" s="74"/>
      <c r="I40" s="74"/>
      <c r="J40" s="74"/>
    </row>
    <row r="41" spans="2:10" ht="15.75" customHeight="1" x14ac:dyDescent="0.3">
      <c r="B41" s="3" t="s">
        <v>336</v>
      </c>
      <c r="E41" s="359"/>
      <c r="F41" s="360">
        <f>'Qualitative Analysis'!E64</f>
        <v>0.60380102040816319</v>
      </c>
      <c r="G41" s="358" t="s">
        <v>337</v>
      </c>
      <c r="H41" s="115"/>
      <c r="I41" s="115"/>
      <c r="J41" s="115"/>
    </row>
    <row r="42" spans="2:10" ht="15.75" customHeight="1" x14ac:dyDescent="0.3">
      <c r="B42" s="3" t="s">
        <v>346</v>
      </c>
      <c r="E42" s="359">
        <f ca="1">IF(F42="Strongly disagree",0,IF(F42="disagree",1,IF(F42="So-so",2,IF(F42="agree",3,4))))/4</f>
        <v>1</v>
      </c>
      <c r="F42" s="101" t="str">
        <f ca="1">IF(F45&lt;D10,"Strongly Disagree",IF(F45&lt;10%,"Disagree",IF(F45&gt;=30%,"Strongly Agree",IF(F45&gt;=20%,"Agree","So-so"))))</f>
        <v>Strongly Agree</v>
      </c>
      <c r="G42" s="74" t="s">
        <v>338</v>
      </c>
      <c r="H42" s="74"/>
      <c r="I42" s="74"/>
      <c r="J42" s="74"/>
    </row>
    <row r="43" spans="2:10" ht="15.75" customHeight="1" x14ac:dyDescent="0.3">
      <c r="B43" s="3" t="s">
        <v>347</v>
      </c>
      <c r="F43" s="361">
        <v>0.8</v>
      </c>
      <c r="G43" s="115" t="s">
        <v>345</v>
      </c>
      <c r="H43" s="115"/>
      <c r="I43" s="115"/>
      <c r="J43" s="115"/>
    </row>
    <row r="44" spans="2:10" ht="15.75" customHeight="1" x14ac:dyDescent="0.3"/>
    <row r="45" spans="2:10" ht="15.75" customHeight="1" x14ac:dyDescent="0.3">
      <c r="B45" s="3" t="s">
        <v>339</v>
      </c>
      <c r="F45" s="360">
        <f ca="1">I35/C29-1</f>
        <v>0.53884328535161186</v>
      </c>
    </row>
    <row r="46" spans="2:10" ht="15.75" customHeight="1" x14ac:dyDescent="0.3">
      <c r="B46" s="3" t="s">
        <v>340</v>
      </c>
      <c r="F46" s="360">
        <f ca="1">D14/C29-1</f>
        <v>-0.25305508600245163</v>
      </c>
    </row>
    <row r="47" spans="2:10" ht="15.75" customHeight="1" x14ac:dyDescent="0.3"/>
    <row r="48" spans="2:10" ht="15.75" customHeight="1" x14ac:dyDescent="0.3">
      <c r="B48" s="3" t="s">
        <v>341</v>
      </c>
      <c r="F48" s="213">
        <f ca="1">IF(F45&lt;=0,0,AVERAGE(F39:F41,1-F43,E42))</f>
        <v>0.6347602040816327</v>
      </c>
      <c r="G48" s="74"/>
    </row>
    <row r="49" spans="2:8" ht="15.75" customHeight="1" x14ac:dyDescent="0.3">
      <c r="B49" s="3" t="s">
        <v>342</v>
      </c>
      <c r="E49" s="362">
        <f ca="1">F45/ABS(F46)</f>
        <v>2.1293517307389407</v>
      </c>
      <c r="F49" s="363">
        <f ca="1">IF(F46&gt;=0,100,F45/ABS(F46))</f>
        <v>2.1293517307389407</v>
      </c>
      <c r="G49" s="74"/>
    </row>
    <row r="50" spans="2:8" ht="15.75" customHeight="1" x14ac:dyDescent="0.3">
      <c r="B50" s="3" t="s">
        <v>343</v>
      </c>
      <c r="E50" s="106">
        <f ca="1">MAX(F48-ABS((1-F48)/F49),0)/2</f>
        <v>0.23161695858127629</v>
      </c>
      <c r="F50" s="364">
        <f ca="1">MIN(E50,H50)</f>
        <v>0.23161695858127629</v>
      </c>
      <c r="G50" s="365" t="s">
        <v>344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1:D11"/>
    <mergeCell ref="C30:D30"/>
    <mergeCell ref="C28:D28"/>
    <mergeCell ref="E29:F29"/>
    <mergeCell ref="E30:F30"/>
    <mergeCell ref="E28:F28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7" priority="15" operator="lessThan">
      <formula>0</formula>
    </cfRule>
  </conditionalFormatting>
  <conditionalFormatting sqref="E26:H26">
    <cfRule type="containsBlanks" dxfId="16" priority="3">
      <formula>LEN(TRIM(E26))=0</formula>
    </cfRule>
  </conditionalFormatting>
  <conditionalFormatting sqref="F49">
    <cfRule type="cellIs" dxfId="15" priority="1" operator="lessThan">
      <formula>1</formula>
    </cfRule>
  </conditionalFormatting>
  <conditionalFormatting sqref="H14">
    <cfRule type="cellIs" dxfId="14" priority="7" operator="greaterThan">
      <formula>$B$16</formula>
    </cfRule>
  </conditionalFormatting>
  <conditionalFormatting sqref="H16">
    <cfRule type="cellIs" dxfId="13" priority="10" operator="greaterThan">
      <formula>$B$16</formula>
    </cfRule>
  </conditionalFormatting>
  <conditionalFormatting sqref="I16">
    <cfRule type="cellIs" dxfId="12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4FA1B866-613F-4D9F-B2E4-3DE6DE89A5F1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7" zoomScaleNormal="100" workbookViewId="0">
      <selection activeCell="C39" sqref="C39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8">
        <v>44651</v>
      </c>
      <c r="D3" s="6"/>
      <c r="E3" s="178">
        <v>1</v>
      </c>
      <c r="F3" s="176">
        <f t="array" ref="F3">AVERAGE(C19:INDEX(C19:M19,1,E3))</f>
        <v>172700</v>
      </c>
      <c r="G3" s="6"/>
      <c r="H3" s="5"/>
      <c r="I3" s="6"/>
      <c r="J3" s="173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7">
        <f>AVERAGE(C16:INDEX(C16:M16,1,E4))</f>
        <v>288600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44651</v>
      </c>
      <c r="D6" s="279">
        <f>EOMONTH(EDATE(C6,-12),0)</f>
        <v>44286</v>
      </c>
      <c r="E6" s="279">
        <f t="shared" ref="E6:M6" si="0">EOMONTH(EDATE(D6,-12),0)</f>
        <v>43921</v>
      </c>
      <c r="F6" s="279">
        <f t="shared" si="0"/>
        <v>43555</v>
      </c>
      <c r="G6" s="279">
        <f t="shared" si="0"/>
        <v>43190</v>
      </c>
      <c r="H6" s="279">
        <f t="shared" si="0"/>
        <v>42825</v>
      </c>
      <c r="I6" s="279">
        <f t="shared" si="0"/>
        <v>42460</v>
      </c>
      <c r="J6" s="279">
        <f t="shared" si="0"/>
        <v>42094</v>
      </c>
      <c r="K6" s="279">
        <f t="shared" si="0"/>
        <v>41729</v>
      </c>
      <c r="L6" s="279">
        <f t="shared" si="0"/>
        <v>41364</v>
      </c>
      <c r="M6" s="279">
        <f t="shared" si="0"/>
        <v>40999</v>
      </c>
    </row>
    <row r="7" spans="1:14" ht="15.75" customHeight="1" x14ac:dyDescent="0.3">
      <c r="A7" s="9"/>
      <c r="B7" s="43" t="s">
        <v>45</v>
      </c>
      <c r="C7" s="35">
        <v>2370500</v>
      </c>
      <c r="D7" s="35">
        <v>2372300</v>
      </c>
      <c r="E7" s="35">
        <v>2165500</v>
      </c>
      <c r="F7" s="35">
        <v>2161900</v>
      </c>
      <c r="G7" s="35"/>
      <c r="H7" s="35"/>
      <c r="I7" s="35"/>
      <c r="J7" s="35"/>
      <c r="K7" s="35"/>
      <c r="L7" s="35"/>
      <c r="M7" s="240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-7.5875732411578856E-4</v>
      </c>
      <c r="D8" s="14">
        <f t="shared" si="1"/>
        <v>9.5497575617640162E-2</v>
      </c>
      <c r="E8" s="14">
        <f t="shared" si="1"/>
        <v>1.6652019057310508E-3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9"/>
      <c r="N8" s="6"/>
    </row>
    <row r="9" spans="1:14" ht="15.75" customHeight="1" x14ac:dyDescent="0.3">
      <c r="A9" s="9"/>
      <c r="B9" s="44" t="s">
        <v>47</v>
      </c>
      <c r="C9" s="35">
        <v>1701400</v>
      </c>
      <c r="D9" s="35">
        <v>1645700</v>
      </c>
      <c r="E9" s="35">
        <v>1501900</v>
      </c>
      <c r="F9" s="35">
        <v>1525500</v>
      </c>
      <c r="G9" s="35"/>
      <c r="H9" s="35"/>
      <c r="I9" s="35"/>
      <c r="J9" s="35"/>
      <c r="K9" s="35"/>
      <c r="L9" s="35"/>
      <c r="M9" s="240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0.282261126344653</v>
      </c>
      <c r="D10" s="14">
        <f t="shared" si="2"/>
        <v>0.30628503983475952</v>
      </c>
      <c r="E10" s="14">
        <f t="shared" si="2"/>
        <v>0.30644193027014549</v>
      </c>
      <c r="F10" s="14">
        <f t="shared" si="2"/>
        <v>0.29437069244645914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9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380500</v>
      </c>
      <c r="D11" s="35">
        <v>378200</v>
      </c>
      <c r="E11" s="35">
        <v>368100</v>
      </c>
      <c r="F11" s="35">
        <v>371900</v>
      </c>
      <c r="G11" s="35"/>
      <c r="H11" s="35"/>
      <c r="I11" s="35"/>
      <c r="J11" s="35"/>
      <c r="K11" s="35"/>
      <c r="L11" s="35"/>
      <c r="M11" s="240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0.16051465935456652</v>
      </c>
      <c r="D12" s="14">
        <f t="shared" si="3"/>
        <v>0.15942334443367198</v>
      </c>
      <c r="E12" s="14">
        <f t="shared" si="3"/>
        <v>0.16998383745093515</v>
      </c>
      <c r="F12" s="14">
        <f t="shared" si="3"/>
        <v>0.17202460798371805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9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0.12174646699008648</v>
      </c>
      <c r="D13" s="14">
        <f t="shared" si="4"/>
        <v>0.14686169540108754</v>
      </c>
      <c r="E13" s="14">
        <f t="shared" si="4"/>
        <v>0.13645809281921034</v>
      </c>
      <c r="F13" s="14">
        <f t="shared" si="4"/>
        <v>0.1223460844627411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9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288600</v>
      </c>
      <c r="D14" s="27">
        <f t="shared" si="5"/>
        <v>348400</v>
      </c>
      <c r="E14" s="27">
        <f t="shared" si="5"/>
        <v>295500</v>
      </c>
      <c r="F14" s="27">
        <f t="shared" si="5"/>
        <v>264500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-0.17164179104477612</v>
      </c>
      <c r="D15" s="14">
        <f t="shared" ref="D15:M15" si="6">IF(E14="","",IF(ABS(D14+E14)=ABS(D14)+ABS(E14),IF(D14&lt;0,-1,1)*(D14-E14)/E14,"Turn"))</f>
        <v>0.17901861252115059</v>
      </c>
      <c r="E15" s="14">
        <f t="shared" si="6"/>
        <v>0.11720226843100189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9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2">
        <f>IF(C14="","",C14*(1-Operation!$D$29))</f>
        <v>288600</v>
      </c>
      <c r="D16" s="142">
        <f>IF(D14="","",D14*(1-Operation!$D$29))</f>
        <v>348400</v>
      </c>
      <c r="E16" s="142">
        <f>IF(E14="","",E14*(1-Operation!$D$29))</f>
        <v>295500</v>
      </c>
      <c r="F16" s="142">
        <f>IF(F14="","",F14*(1-Operation!$D$29))</f>
        <v>264500</v>
      </c>
      <c r="G16" s="142" t="str">
        <f>IF(G14="","",G14*(1-Operation!$D$29))</f>
        <v/>
      </c>
      <c r="H16" s="142" t="str">
        <f>IF(H14="","",H14*(1-Operation!$D$29))</f>
        <v/>
      </c>
      <c r="I16" s="142" t="str">
        <f>IF(I14="","",I14*(1-Operation!$D$29))</f>
        <v/>
      </c>
      <c r="J16" s="142" t="str">
        <f>IF(J14="","",J14*(1-Operation!$D$29))</f>
        <v/>
      </c>
      <c r="K16" s="142" t="str">
        <f>IF(K14="","",K14*(1-Operation!$D$29))</f>
        <v/>
      </c>
      <c r="L16" s="142" t="str">
        <f>IF(L14="","",L14*(1-Operation!$D$29))</f>
        <v/>
      </c>
      <c r="M16" s="242" t="str">
        <f>IF(M14="","",M14*(1-Operation!$D$29))</f>
        <v/>
      </c>
      <c r="N16" s="6"/>
    </row>
    <row r="17" spans="1:14" ht="15.75" customHeight="1" x14ac:dyDescent="0.3">
      <c r="A17" s="9"/>
      <c r="B17" s="141" t="s">
        <v>55</v>
      </c>
      <c r="C17" s="128">
        <f t="shared" ref="C17:M17" si="7">IF(C7="","",C16/C7)</f>
        <v>0.12174646699008648</v>
      </c>
      <c r="D17" s="128">
        <f t="shared" si="7"/>
        <v>0.14686169540108754</v>
      </c>
      <c r="E17" s="128">
        <f t="shared" si="7"/>
        <v>0.13645809281921034</v>
      </c>
      <c r="F17" s="128">
        <f t="shared" si="7"/>
        <v>0.1223460844627411</v>
      </c>
      <c r="G17" s="128" t="str">
        <f t="shared" si="7"/>
        <v/>
      </c>
      <c r="H17" s="128" t="str">
        <f t="shared" si="7"/>
        <v/>
      </c>
      <c r="I17" s="128" t="str">
        <f t="shared" si="7"/>
        <v/>
      </c>
      <c r="J17" s="128" t="str">
        <f t="shared" si="7"/>
        <v/>
      </c>
      <c r="K17" s="128" t="str">
        <f t="shared" si="7"/>
        <v/>
      </c>
      <c r="L17" s="128" t="str">
        <f t="shared" si="7"/>
        <v/>
      </c>
      <c r="M17" s="243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3">
        <v>9600</v>
      </c>
      <c r="D18" s="143">
        <v>7300</v>
      </c>
      <c r="E18" s="143">
        <v>7400</v>
      </c>
      <c r="F18" s="143">
        <v>0</v>
      </c>
      <c r="G18" s="143"/>
      <c r="H18" s="143"/>
      <c r="I18" s="143"/>
      <c r="J18" s="143"/>
      <c r="K18" s="143"/>
      <c r="L18" s="143"/>
      <c r="M18" s="244"/>
      <c r="N18" s="6"/>
    </row>
    <row r="19" spans="1:14" ht="15.75" customHeight="1" x14ac:dyDescent="0.3">
      <c r="A19" s="9"/>
      <c r="B19" s="44" t="s">
        <v>56</v>
      </c>
      <c r="C19" s="35">
        <v>172700</v>
      </c>
      <c r="D19" s="35">
        <v>230900</v>
      </c>
      <c r="E19" s="35">
        <v>190700</v>
      </c>
      <c r="F19" s="35">
        <v>171300</v>
      </c>
      <c r="G19" s="35"/>
      <c r="H19" s="35"/>
      <c r="I19" s="35"/>
      <c r="J19" s="35"/>
      <c r="K19" s="35"/>
      <c r="L19" s="35"/>
      <c r="M19" s="240"/>
      <c r="N19" s="6"/>
    </row>
    <row r="20" spans="1:14" ht="15.75" customHeight="1" x14ac:dyDescent="0.3">
      <c r="A20" s="9"/>
      <c r="B20" s="44" t="s">
        <v>273</v>
      </c>
      <c r="C20" s="14">
        <f>IF(D19="","",IF(ABS(C19+D19)=ABS(C19)+ABS(D19),IF(C19&lt;0,-1,1)*(C19-D19)/D19,"Turn"))</f>
        <v>-0.25205716760502384</v>
      </c>
      <c r="D20" s="14">
        <f t="shared" ref="D20:M20" si="8">IF(E19="","",IF(ABS(D19+E19)=ABS(D19)+ABS(E19),IF(D19&lt;0,-1,1)*(D19-E19)/E19,"Turn"))</f>
        <v>0.21080230728893551</v>
      </c>
      <c r="E20" s="14">
        <f t="shared" si="8"/>
        <v>0.11325160537069469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9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5">
        <v>1142200</v>
      </c>
      <c r="D21" s="35">
        <v>1080300</v>
      </c>
      <c r="E21" s="35">
        <v>889800</v>
      </c>
      <c r="F21" s="35">
        <v>929600</v>
      </c>
      <c r="G21" s="35"/>
      <c r="H21" s="35"/>
      <c r="I21" s="35"/>
      <c r="J21" s="35"/>
      <c r="K21" s="35"/>
      <c r="L21" s="35"/>
      <c r="M21" s="240"/>
      <c r="N21" s="6"/>
    </row>
    <row r="22" spans="1:14" ht="15.75" customHeight="1" x14ac:dyDescent="0.3">
      <c r="A22" s="9"/>
      <c r="B22" s="44" t="s">
        <v>58</v>
      </c>
      <c r="C22" s="175">
        <v>628000</v>
      </c>
      <c r="D22" s="35">
        <v>523000</v>
      </c>
      <c r="E22" s="35">
        <v>441900</v>
      </c>
      <c r="F22" s="35">
        <v>476500</v>
      </c>
      <c r="G22" s="35"/>
      <c r="H22" s="35"/>
      <c r="I22" s="35"/>
      <c r="J22" s="35"/>
      <c r="K22" s="35"/>
      <c r="L22" s="35"/>
      <c r="M22" s="240"/>
      <c r="N22" s="6"/>
    </row>
    <row r="23" spans="1:14" ht="15.5" customHeight="1" x14ac:dyDescent="0.3">
      <c r="A23" s="9"/>
      <c r="B23" s="44" t="s">
        <v>59</v>
      </c>
      <c r="C23" s="175">
        <v>20600</v>
      </c>
      <c r="D23" s="35">
        <v>17500</v>
      </c>
      <c r="E23" s="35">
        <v>17900</v>
      </c>
      <c r="F23" s="35">
        <v>0</v>
      </c>
      <c r="G23" s="35"/>
      <c r="H23" s="35"/>
      <c r="I23" s="35"/>
      <c r="J23" s="35"/>
      <c r="K23" s="35"/>
      <c r="L23" s="35"/>
      <c r="M23" s="240"/>
      <c r="N23" s="6"/>
    </row>
    <row r="24" spans="1:14" ht="15.75" customHeight="1" x14ac:dyDescent="0.3">
      <c r="A24" s="9"/>
      <c r="B24" s="140" t="s">
        <v>60</v>
      </c>
      <c r="C24" s="272">
        <v>20600</v>
      </c>
      <c r="D24" s="139">
        <v>17500</v>
      </c>
      <c r="E24" s="139">
        <v>17900</v>
      </c>
      <c r="F24" s="139">
        <v>0</v>
      </c>
      <c r="G24" s="139"/>
      <c r="H24" s="139"/>
      <c r="I24" s="139"/>
      <c r="J24" s="139"/>
      <c r="K24" s="139"/>
      <c r="L24" s="139"/>
      <c r="M24" s="245"/>
      <c r="N24" s="6"/>
    </row>
    <row r="25" spans="1:14" ht="15.75" customHeight="1" x14ac:dyDescent="0.3">
      <c r="A25" s="9"/>
      <c r="B25" s="44" t="s">
        <v>61</v>
      </c>
      <c r="C25" s="175">
        <v>176500</v>
      </c>
      <c r="D25" s="35">
        <v>188600</v>
      </c>
      <c r="E25" s="35">
        <v>147300</v>
      </c>
      <c r="F25" s="35">
        <v>0</v>
      </c>
      <c r="G25" s="35"/>
      <c r="H25" s="35"/>
      <c r="I25" s="35"/>
      <c r="J25" s="35"/>
      <c r="K25" s="35"/>
      <c r="L25" s="35"/>
      <c r="M25" s="240"/>
      <c r="N25" s="6"/>
    </row>
    <row r="26" spans="1:14" ht="15.75" customHeight="1" x14ac:dyDescent="0.3">
      <c r="A26" s="9"/>
      <c r="B26" s="140" t="s">
        <v>62</v>
      </c>
      <c r="C26" s="174">
        <v>176500</v>
      </c>
      <c r="D26" s="139">
        <v>188600</v>
      </c>
      <c r="E26" s="139">
        <v>147300</v>
      </c>
      <c r="F26" s="139">
        <v>0</v>
      </c>
      <c r="G26" s="139"/>
      <c r="H26" s="139"/>
      <c r="I26" s="139"/>
      <c r="J26" s="139"/>
      <c r="K26" s="139"/>
      <c r="L26" s="139"/>
      <c r="M26" s="245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197100</v>
      </c>
      <c r="D27" s="27">
        <f t="shared" si="9"/>
        <v>206100</v>
      </c>
      <c r="E27" s="27">
        <f t="shared" si="9"/>
        <v>165200</v>
      </c>
      <c r="F27" s="27">
        <f t="shared" si="9"/>
        <v>0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5">
        <v>678800</v>
      </c>
      <c r="D28" s="35">
        <v>731100</v>
      </c>
      <c r="E28" s="35">
        <v>601500</v>
      </c>
      <c r="F28" s="35">
        <v>607000</v>
      </c>
      <c r="G28" s="35"/>
      <c r="H28" s="35"/>
      <c r="I28" s="35"/>
      <c r="J28" s="35"/>
      <c r="K28" s="35"/>
      <c r="L28" s="35"/>
      <c r="M28" s="240"/>
      <c r="N28" s="6"/>
    </row>
    <row r="29" spans="1:14" ht="15.75" customHeight="1" x14ac:dyDescent="0.3">
      <c r="A29" s="9"/>
      <c r="B29" s="140" t="s">
        <v>211</v>
      </c>
      <c r="C29" s="174">
        <v>678800</v>
      </c>
      <c r="D29" s="139">
        <v>731100</v>
      </c>
      <c r="E29" s="139">
        <v>601500</v>
      </c>
      <c r="F29" s="139">
        <v>607000</v>
      </c>
      <c r="G29" s="139"/>
      <c r="H29" s="139"/>
      <c r="I29" s="139"/>
      <c r="J29" s="139"/>
      <c r="K29" s="139"/>
      <c r="L29" s="139"/>
      <c r="M29" s="245"/>
      <c r="N29" s="6"/>
    </row>
    <row r="30" spans="1:14" ht="15.75" customHeight="1" x14ac:dyDescent="0.3">
      <c r="A30" s="9"/>
      <c r="B30" s="44" t="s">
        <v>65</v>
      </c>
      <c r="C30" s="175">
        <v>268100</v>
      </c>
      <c r="D30" s="35">
        <v>285300</v>
      </c>
      <c r="E30" s="35">
        <v>232200</v>
      </c>
      <c r="F30" s="35">
        <v>88800</v>
      </c>
      <c r="G30" s="35"/>
      <c r="H30" s="35"/>
      <c r="I30" s="35"/>
      <c r="J30" s="35"/>
      <c r="K30" s="35"/>
      <c r="L30" s="35"/>
      <c r="M30" s="240"/>
      <c r="N30" s="6"/>
    </row>
    <row r="31" spans="1:14" ht="15.75" customHeight="1" x14ac:dyDescent="0.3">
      <c r="A31" s="9"/>
      <c r="B31" s="44" t="s">
        <v>235</v>
      </c>
      <c r="C31" s="175">
        <v>195800</v>
      </c>
      <c r="D31" s="35">
        <v>343800</v>
      </c>
      <c r="E31" s="35">
        <v>242500</v>
      </c>
      <c r="F31" s="35">
        <v>237000</v>
      </c>
      <c r="G31" s="35"/>
      <c r="H31" s="35"/>
      <c r="I31" s="35"/>
      <c r="J31" s="35"/>
      <c r="K31" s="35"/>
      <c r="L31" s="35"/>
      <c r="M31" s="240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-6.4155165982842224E-2</v>
      </c>
      <c r="D32" s="14">
        <f t="shared" si="10"/>
        <v>0.18611987381703471</v>
      </c>
      <c r="E32" s="14">
        <f t="shared" si="10"/>
        <v>0.61757105943152457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9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7">
        <f>IF(D7="","",(C7-D7)*Asset_Model!$D$65)</f>
        <v>-250.73191309850242</v>
      </c>
      <c r="D33" s="247">
        <f>IF(E7="","",(D7-E7)*Asset_Model!$D$65)</f>
        <v>28806.310904872389</v>
      </c>
      <c r="E33" s="247">
        <f>IF(F7="","",(E7-F7)*Asset_Model!$D$65)</f>
        <v>501.46382619700483</v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2">
        <f>IF(D7="","",C30-D30+C33+IF($C$49="Yes",C51,0))</f>
        <v>-17450.731913098502</v>
      </c>
      <c r="D34" s="142">
        <f>IF(E7="","",D30-E30+D33+IF($C$49="Yes",D51,0))</f>
        <v>81906.310904872385</v>
      </c>
      <c r="E34" s="142">
        <f t="shared" ref="E34:F34" si="11">IF(F7="","",E30-F30+E33+IF($C$49="Yes",E51,0))</f>
        <v>143901.463826197</v>
      </c>
      <c r="F34" s="142" t="str">
        <f t="shared" si="11"/>
        <v/>
      </c>
      <c r="G34" s="142" t="str">
        <f t="shared" ref="G34" si="12">IF(H7="","",G30-H30+G33+IF($C$49="Yes",G51,0))</f>
        <v/>
      </c>
      <c r="H34" s="142" t="str">
        <f t="shared" ref="H34" si="13">IF(I7="","",H30-I30+H33+IF($C$49="Yes",H51,0))</f>
        <v/>
      </c>
      <c r="I34" s="142" t="str">
        <f t="shared" ref="I34" si="14">IF(J7="","",I30-J30+I33+IF($C$49="Yes",I51,0))</f>
        <v/>
      </c>
      <c r="J34" s="142" t="str">
        <f t="shared" ref="J34" si="15">IF(K7="","",J30-K30+J33+IF($C$49="Yes",J51,0))</f>
        <v/>
      </c>
      <c r="K34" s="142" t="str">
        <f t="shared" ref="K34" si="16">IF(L7="","",K30-L30+K33+IF($C$49="Yes",K51,0))</f>
        <v/>
      </c>
      <c r="L34" s="142" t="str">
        <f t="shared" ref="L34" si="17">IF(M7="","",L30-M30+L33+IF($C$49="Yes",L51,0))</f>
        <v/>
      </c>
      <c r="M34" s="341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6" t="s">
        <v>68</v>
      </c>
      <c r="C35" s="238">
        <f t="shared" ref="C35:M35" si="19">IF(C34="","",C34/C16)</f>
        <v>-6.0466846545732852E-2</v>
      </c>
      <c r="D35" s="238">
        <f t="shared" si="19"/>
        <v>0.23509274082914003</v>
      </c>
      <c r="E35" s="238">
        <f t="shared" si="19"/>
        <v>0.48697618892114042</v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7" t="s">
        <v>258</v>
      </c>
      <c r="C37" s="164">
        <v>229700</v>
      </c>
      <c r="D37" s="164">
        <v>133600</v>
      </c>
      <c r="E37" s="164">
        <v>168700</v>
      </c>
      <c r="F37" s="164">
        <v>201300</v>
      </c>
      <c r="G37" s="164"/>
      <c r="H37" s="164"/>
      <c r="I37" s="164"/>
      <c r="J37" s="164"/>
      <c r="K37" s="164"/>
      <c r="L37" s="164"/>
      <c r="M37" s="165"/>
      <c r="N37" s="6"/>
    </row>
    <row r="38" spans="1:14" ht="15.75" customHeight="1" x14ac:dyDescent="0.3">
      <c r="A38" s="9"/>
      <c r="B38" s="141" t="s">
        <v>70</v>
      </c>
      <c r="C38" s="163">
        <v>1600</v>
      </c>
      <c r="D38" s="163">
        <v>2300</v>
      </c>
      <c r="E38" s="163">
        <v>1200</v>
      </c>
      <c r="F38" s="163">
        <v>3400</v>
      </c>
      <c r="G38" s="163"/>
      <c r="H38" s="163"/>
      <c r="I38" s="163"/>
      <c r="J38" s="163"/>
      <c r="K38" s="163"/>
      <c r="L38" s="163"/>
      <c r="M38" s="166"/>
      <c r="N38" s="6"/>
    </row>
    <row r="39" spans="1:14" ht="15.75" customHeight="1" x14ac:dyDescent="0.3">
      <c r="A39" s="9"/>
      <c r="B39" s="141" t="s">
        <v>207</v>
      </c>
      <c r="C39" s="169">
        <f t="shared" ref="C39:M39" si="20">IF(C37="","",C37*$C$4/Common_Shares)</f>
        <v>0.90897578966529746</v>
      </c>
      <c r="D39" s="169">
        <f t="shared" si="20"/>
        <v>0.52868596212139196</v>
      </c>
      <c r="E39" s="169">
        <f t="shared" si="20"/>
        <v>0.66758474408591939</v>
      </c>
      <c r="F39" s="169">
        <f t="shared" si="20"/>
        <v>0.79659045041194765</v>
      </c>
      <c r="G39" s="169" t="str">
        <f t="shared" si="20"/>
        <v/>
      </c>
      <c r="H39" s="169" t="str">
        <f t="shared" si="20"/>
        <v/>
      </c>
      <c r="I39" s="169" t="str">
        <f t="shared" si="20"/>
        <v/>
      </c>
      <c r="J39" s="169" t="str">
        <f t="shared" si="20"/>
        <v/>
      </c>
      <c r="K39" s="169" t="str">
        <f t="shared" si="20"/>
        <v/>
      </c>
      <c r="L39" s="169" t="str">
        <f t="shared" si="20"/>
        <v/>
      </c>
      <c r="M39" s="170" t="str">
        <f t="shared" si="20"/>
        <v/>
      </c>
      <c r="N39" s="6"/>
    </row>
    <row r="40" spans="1:14" ht="15.75" customHeight="1" x14ac:dyDescent="0.3">
      <c r="A40" s="9"/>
      <c r="B40" s="168" t="s">
        <v>208</v>
      </c>
      <c r="C40" s="171">
        <f t="shared" ref="C40:M40" si="21">IF(C38="","",C38*$C$4/Common_Shares)</f>
        <v>6.3315684086394253E-3</v>
      </c>
      <c r="D40" s="171">
        <f t="shared" si="21"/>
        <v>9.101629587419174E-3</v>
      </c>
      <c r="E40" s="171">
        <f t="shared" si="21"/>
        <v>4.7486763064795686E-3</v>
      </c>
      <c r="F40" s="171">
        <f t="shared" si="21"/>
        <v>1.3454582868358779E-2</v>
      </c>
      <c r="G40" s="171" t="str">
        <f t="shared" si="21"/>
        <v/>
      </c>
      <c r="H40" s="171" t="str">
        <f t="shared" si="21"/>
        <v/>
      </c>
      <c r="I40" s="171" t="str">
        <f t="shared" si="21"/>
        <v/>
      </c>
      <c r="J40" s="171" t="str">
        <f t="shared" si="21"/>
        <v/>
      </c>
      <c r="K40" s="171" t="str">
        <f t="shared" si="21"/>
        <v/>
      </c>
      <c r="L40" s="171" t="str">
        <f t="shared" si="21"/>
        <v/>
      </c>
      <c r="M40" s="172" t="str">
        <f t="shared" si="21"/>
        <v/>
      </c>
      <c r="N40" s="6"/>
    </row>
    <row r="41" spans="1:14" ht="15.75" customHeight="1" x14ac:dyDescent="0.3">
      <c r="A41" s="9"/>
      <c r="B41" s="88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0.26001767825574545</v>
      </c>
      <c r="D42" s="48">
        <f t="shared" ref="D42:M42" si="22">IF(D29="","",D25/D29)</f>
        <v>0.25796744631377377</v>
      </c>
      <c r="E42" s="48">
        <f t="shared" si="22"/>
        <v>0.24488778054862842</v>
      </c>
      <c r="F42" s="48">
        <f t="shared" si="22"/>
        <v>0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8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0.29036535061873897</v>
      </c>
      <c r="D43" s="14">
        <f t="shared" si="23"/>
        <v>0.28190398030365205</v>
      </c>
      <c r="E43" s="14">
        <f t="shared" si="23"/>
        <v>0.27464671654197836</v>
      </c>
      <c r="F43" s="14">
        <f t="shared" si="23"/>
        <v>0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9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1.4642313546423136</v>
      </c>
      <c r="D44" s="50">
        <f t="shared" si="24"/>
        <v>1.690441533236293</v>
      </c>
      <c r="E44" s="50">
        <f t="shared" si="24"/>
        <v>1.7887409200968523</v>
      </c>
      <c r="F44" s="50" t="str">
        <f t="shared" si="24"/>
        <v>-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0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3.3264033264033266E-2</v>
      </c>
      <c r="D45" s="14">
        <f t="shared" si="25"/>
        <v>2.0952927669345579E-2</v>
      </c>
      <c r="E45" s="14">
        <f t="shared" si="25"/>
        <v>2.5042301184433163E-2</v>
      </c>
      <c r="F45" s="14" t="str">
        <f t="shared" si="25"/>
        <v>-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9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1.8187898089171974</v>
      </c>
      <c r="D46" s="51">
        <f t="shared" si="26"/>
        <v>2.0655831739961759</v>
      </c>
      <c r="E46" s="51">
        <f t="shared" si="26"/>
        <v>2.0135777325186694</v>
      </c>
      <c r="F46" s="51">
        <f t="shared" si="26"/>
        <v>1.9508919202518362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1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0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7"/>
      <c r="D50" s="6"/>
      <c r="E50" s="337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8" t="s">
        <v>301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5"/>
    </row>
    <row r="52" spans="1:13" ht="15.75" customHeight="1" x14ac:dyDescent="0.3">
      <c r="A52" s="9"/>
      <c r="B52" s="339" t="s">
        <v>302</v>
      </c>
      <c r="C52" s="346" t="str">
        <f>IF(C51="","",C51/C7)</f>
        <v/>
      </c>
      <c r="D52" s="346" t="str">
        <f t="shared" ref="D52:M52" si="27">IF(D51="","",D51/D7)</f>
        <v/>
      </c>
      <c r="E52" s="346" t="str">
        <f t="shared" si="27"/>
        <v/>
      </c>
      <c r="F52" s="346" t="str">
        <f t="shared" si="27"/>
        <v/>
      </c>
      <c r="G52" s="346" t="str">
        <f t="shared" si="27"/>
        <v/>
      </c>
      <c r="H52" s="346" t="str">
        <f>IF(H51="","",H51/H7)</f>
        <v/>
      </c>
      <c r="I52" s="346" t="str">
        <f t="shared" si="27"/>
        <v/>
      </c>
      <c r="J52" s="346" t="str">
        <f t="shared" si="27"/>
        <v/>
      </c>
      <c r="K52" s="346" t="str">
        <f t="shared" si="27"/>
        <v/>
      </c>
      <c r="L52" s="346" t="str">
        <f t="shared" si="27"/>
        <v/>
      </c>
      <c r="M52" s="347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I16" sqref="I16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6" t="s">
        <v>81</v>
      </c>
      <c r="C2" s="266"/>
      <c r="D2" s="11"/>
      <c r="E2" s="12"/>
      <c r="F2" s="12"/>
      <c r="G2" s="12"/>
      <c r="H2" s="12"/>
      <c r="I2" s="12"/>
      <c r="K2" s="345" t="s">
        <v>141</v>
      </c>
    </row>
    <row r="3" spans="1:11" ht="15" customHeight="1" x14ac:dyDescent="0.3">
      <c r="B3" s="5" t="s">
        <v>259</v>
      </c>
      <c r="C3" s="6"/>
      <c r="D3" s="273">
        <v>585200</v>
      </c>
      <c r="E3" s="155" t="str">
        <f>IF((C46-I46)=D3,"", "Error!")</f>
        <v/>
      </c>
      <c r="F3" s="6"/>
      <c r="G3" s="6"/>
      <c r="H3" s="274" t="s">
        <v>260</v>
      </c>
      <c r="I3" s="275">
        <v>585200</v>
      </c>
      <c r="K3" s="74"/>
    </row>
    <row r="4" spans="1:11" ht="15" customHeight="1" x14ac:dyDescent="0.3">
      <c r="B4" s="5" t="s">
        <v>226</v>
      </c>
      <c r="C4" s="6"/>
      <c r="D4" s="276">
        <f>D3-I3</f>
        <v>0</v>
      </c>
      <c r="E4" s="149"/>
      <c r="F4" s="6"/>
      <c r="G4" s="6"/>
      <c r="H4" s="60" t="s">
        <v>82</v>
      </c>
      <c r="I4" s="90">
        <f>(I3*Dashboard!I12*Data!C4)/Dashboard!I5</f>
        <v>18.172203930434186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47790</v>
      </c>
      <c r="E6" s="14">
        <f>1-D6/D3</f>
        <v>0.91833561175666434</v>
      </c>
      <c r="F6" s="6"/>
      <c r="G6" s="6"/>
      <c r="H6" s="3" t="s">
        <v>329</v>
      </c>
      <c r="I6" s="69">
        <f>C26/I26</f>
        <v>1.5455575132141959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1.484021917012047</v>
      </c>
      <c r="E7" s="49" t="str">
        <f>Dashboard!J4</f>
        <v>HKD</v>
      </c>
      <c r="H7" s="3" t="s">
        <v>330</v>
      </c>
      <c r="I7" s="69">
        <f>C25/I26</f>
        <v>0.82091618424364465</v>
      </c>
      <c r="J7" s="6"/>
      <c r="K7" s="115"/>
    </row>
    <row r="8" spans="1:11" ht="15" customHeight="1" x14ac:dyDescent="0.3">
      <c r="D8" s="6"/>
      <c r="H8" s="3" t="s">
        <v>331</v>
      </c>
      <c r="I8" s="69">
        <f>C24/I26</f>
        <v>0.13000251698968035</v>
      </c>
      <c r="K8" s="74"/>
    </row>
    <row r="9" spans="1:11" ht="15" customHeight="1" x14ac:dyDescent="0.3">
      <c r="A9" s="4"/>
      <c r="B9" s="267" t="s">
        <v>255</v>
      </c>
      <c r="C9" s="254"/>
      <c r="D9" s="271">
        <v>44834</v>
      </c>
      <c r="E9" s="268" t="str">
        <f>IF(D9=Data!C3,"FY","Quarter")</f>
        <v>Quarter</v>
      </c>
      <c r="F9" s="132"/>
      <c r="G9" s="132"/>
      <c r="H9" s="132"/>
      <c r="I9" s="132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103300</v>
      </c>
      <c r="D11" s="65">
        <v>1</v>
      </c>
      <c r="E11" s="27">
        <f t="shared" ref="E11:E21" si="0">C11*D11</f>
        <v>103300</v>
      </c>
      <c r="F11" s="6"/>
      <c r="G11" s="6"/>
      <c r="H11" s="5" t="s">
        <v>92</v>
      </c>
      <c r="I11" s="64">
        <v>93200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15200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4">
        <f>I26-SUM(I11:I14)</f>
        <v>686200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3" t="s">
        <v>243</v>
      </c>
      <c r="G16" s="93">
        <f>IF(F16="Y",0,1)</f>
        <v>0</v>
      </c>
      <c r="H16" s="5"/>
      <c r="I16" s="153"/>
      <c r="J16" s="6"/>
    </row>
    <row r="17" spans="2:10" ht="14" x14ac:dyDescent="0.3">
      <c r="B17" s="5" t="s">
        <v>101</v>
      </c>
      <c r="C17" s="64">
        <v>549000</v>
      </c>
      <c r="D17" s="65">
        <v>0.8</v>
      </c>
      <c r="E17" s="27">
        <f t="shared" si="0"/>
        <v>439200</v>
      </c>
      <c r="F17" s="6"/>
      <c r="G17" s="6"/>
      <c r="H17" s="5"/>
      <c r="I17" s="153"/>
      <c r="J17" s="6"/>
    </row>
    <row r="18" spans="2:10" ht="14" x14ac:dyDescent="0.3">
      <c r="B18" s="5" t="s">
        <v>102</v>
      </c>
      <c r="C18" s="64">
        <v>570000</v>
      </c>
      <c r="D18" s="65">
        <v>0.6</v>
      </c>
      <c r="E18" s="27">
        <f t="shared" si="0"/>
        <v>342000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3" t="s">
        <v>243</v>
      </c>
      <c r="G19" s="93">
        <f>IF(F19="Y",0,1)</f>
        <v>0</v>
      </c>
      <c r="H19" s="5"/>
      <c r="I19" s="153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3" t="s">
        <v>243</v>
      </c>
      <c r="G20" s="93">
        <f>IF(F20="Y",0,1)</f>
        <v>0</v>
      </c>
      <c r="H20" s="5"/>
      <c r="I20" s="153"/>
    </row>
    <row r="21" spans="2:10" ht="14" x14ac:dyDescent="0.3">
      <c r="B21" s="5" t="s">
        <v>105</v>
      </c>
      <c r="C21" s="64">
        <v>5800</v>
      </c>
      <c r="D21" s="65">
        <v>0.95</v>
      </c>
      <c r="E21" s="27">
        <f t="shared" si="0"/>
        <v>5510</v>
      </c>
      <c r="F21" s="6"/>
      <c r="G21" s="6"/>
      <c r="H21" s="5"/>
      <c r="I21" s="153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103300</v>
      </c>
      <c r="D24" s="68">
        <f>IF(E24=0,0,E24/C24)</f>
        <v>1</v>
      </c>
      <c r="E24" s="27">
        <f>SUM(E11:E14)</f>
        <v>103300</v>
      </c>
      <c r="F24" s="6"/>
      <c r="G24" s="6"/>
      <c r="H24" s="66" t="s">
        <v>108</v>
      </c>
      <c r="I24" s="69">
        <f>E24/($I$26-I15)</f>
        <v>0.95295202952029523</v>
      </c>
      <c r="J24" s="13" t="str">
        <f>IF(I24&lt;1,"Liquidity Problem!","")</f>
        <v>Liquidity Problem!</v>
      </c>
    </row>
    <row r="25" spans="2:10" ht="15" customHeight="1" x14ac:dyDescent="0.3">
      <c r="B25" s="66" t="s">
        <v>109</v>
      </c>
      <c r="C25" s="70">
        <f>C24+SUM(C15:C17)</f>
        <v>652300</v>
      </c>
      <c r="D25" s="68">
        <f>IF(E25=0,0,E25/C25)</f>
        <v>0.83167254330829377</v>
      </c>
      <c r="E25" s="27">
        <f>E24+SUM(E15:E17)</f>
        <v>542500</v>
      </c>
      <c r="F25" s="6"/>
      <c r="G25" s="6"/>
      <c r="H25" s="66" t="s">
        <v>110</v>
      </c>
      <c r="I25" s="69">
        <f>E25/$I$26</f>
        <v>0.68273345079285175</v>
      </c>
      <c r="J25" s="13" t="str">
        <f>IF(OR(I25&lt;0.75,C26&lt;I26),"Liquidity Problem!","")</f>
        <v>Liquidity Problem!</v>
      </c>
    </row>
    <row r="26" spans="2:10" ht="15" customHeight="1" x14ac:dyDescent="0.3">
      <c r="B26" s="5" t="s">
        <v>111</v>
      </c>
      <c r="C26" s="70">
        <f>SUM(C11:C22)</f>
        <v>1228100</v>
      </c>
      <c r="D26" s="14">
        <f t="shared" ref="D26" si="2">E26/C26</f>
        <v>0.72470482859701979</v>
      </c>
      <c r="E26" s="27">
        <f>SUM(E11:E22)</f>
        <v>890010</v>
      </c>
      <c r="H26" s="5" t="s">
        <v>58</v>
      </c>
      <c r="I26" s="64">
        <v>794600</v>
      </c>
      <c r="J26" s="106">
        <f>IF(J24="",1,0)+IF(J25="",1,0)+IF(J44="",1,0)+IF(J45="",1,0)</f>
        <v>1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0</v>
      </c>
      <c r="J28" s="6"/>
    </row>
    <row r="29" spans="2:10" ht="15" customHeight="1" x14ac:dyDescent="0.3">
      <c r="B29" s="5" t="s">
        <v>114</v>
      </c>
      <c r="C29" s="64">
        <v>0</v>
      </c>
      <c r="D29" s="65">
        <v>0.6</v>
      </c>
      <c r="E29" s="27">
        <f t="shared" ref="E29:E40" si="3">C29*D29</f>
        <v>0</v>
      </c>
      <c r="F29" s="6"/>
      <c r="G29" s="6"/>
      <c r="H29" s="5" t="s">
        <v>115</v>
      </c>
      <c r="I29" s="64">
        <v>164100</v>
      </c>
      <c r="J29" s="6"/>
    </row>
    <row r="30" spans="2:10" ht="15" customHeight="1" x14ac:dyDescent="0.3">
      <c r="B30" s="5" t="s">
        <v>116</v>
      </c>
      <c r="C30" s="64">
        <v>1400</v>
      </c>
      <c r="D30" s="65">
        <v>0.2</v>
      </c>
      <c r="E30" s="27">
        <f t="shared" si="3"/>
        <v>280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4">
        <f>I42-SUM(I28:I31)</f>
        <v>3400</v>
      </c>
      <c r="J32" s="6"/>
    </row>
    <row r="33" spans="2:10" ht="14" x14ac:dyDescent="0.3">
      <c r="B33" s="5" t="s">
        <v>121</v>
      </c>
      <c r="C33" s="64">
        <v>3800</v>
      </c>
      <c r="D33" s="65">
        <v>0.8</v>
      </c>
      <c r="E33" s="219">
        <f t="shared" si="3"/>
        <v>3040</v>
      </c>
      <c r="F33" s="203" t="s">
        <v>244</v>
      </c>
      <c r="G33" s="93">
        <f>IF(F33="Y",0,1)</f>
        <v>1</v>
      </c>
      <c r="J33" s="6"/>
    </row>
    <row r="34" spans="2:10" ht="14" x14ac:dyDescent="0.3">
      <c r="B34" s="5" t="s">
        <v>122</v>
      </c>
      <c r="C34" s="64">
        <v>0</v>
      </c>
      <c r="D34" s="65">
        <v>0.7</v>
      </c>
      <c r="E34" s="219">
        <f t="shared" si="3"/>
        <v>0</v>
      </c>
      <c r="F34" s="203" t="s">
        <v>243</v>
      </c>
      <c r="G34" s="93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3" t="s">
        <v>243</v>
      </c>
      <c r="G35" s="93">
        <f>IF(F35="Y",0,1)</f>
        <v>0</v>
      </c>
    </row>
    <row r="36" spans="2:10" ht="15" customHeight="1" x14ac:dyDescent="0.3">
      <c r="B36" s="5" t="s">
        <v>306</v>
      </c>
      <c r="C36" s="64">
        <f>77700+164100</f>
        <v>241800</v>
      </c>
      <c r="D36" s="65">
        <v>0.4</v>
      </c>
      <c r="E36" s="27">
        <f t="shared" si="3"/>
        <v>96720</v>
      </c>
      <c r="F36" s="6"/>
      <c r="G36" s="6"/>
    </row>
    <row r="37" spans="2:10" ht="14" x14ac:dyDescent="0.3">
      <c r="B37" s="5" t="s">
        <v>307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15700</v>
      </c>
      <c r="D38" s="65">
        <v>0.2</v>
      </c>
      <c r="E38" s="27">
        <f t="shared" si="3"/>
        <v>3140</v>
      </c>
      <c r="F38" s="6"/>
      <c r="G38" s="6"/>
    </row>
    <row r="39" spans="2:10" ht="15" customHeight="1" x14ac:dyDescent="0.3">
      <c r="B39" s="5" t="s">
        <v>124</v>
      </c>
      <c r="C39" s="64">
        <v>13000</v>
      </c>
      <c r="D39" s="65">
        <v>0.95</v>
      </c>
      <c r="E39" s="27">
        <f t="shared" si="3"/>
        <v>12350</v>
      </c>
      <c r="F39" s="6"/>
      <c r="G39" s="6"/>
    </row>
    <row r="40" spans="2:10" ht="15" customHeight="1" x14ac:dyDescent="0.3">
      <c r="B40" s="5" t="s">
        <v>125</v>
      </c>
      <c r="C40" s="64">
        <v>43500</v>
      </c>
      <c r="D40" s="65">
        <v>0.1</v>
      </c>
      <c r="E40" s="27">
        <f t="shared" si="3"/>
        <v>4350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319200</v>
      </c>
      <c r="D42" s="14">
        <f>E42/C42</f>
        <v>0.3755639097744361</v>
      </c>
      <c r="E42" s="27">
        <f>SUM(E28:E40)</f>
        <v>119880</v>
      </c>
      <c r="F42" s="6"/>
      <c r="G42" s="6"/>
      <c r="H42" s="5" t="s">
        <v>127</v>
      </c>
      <c r="I42" s="64">
        <v>167500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103300</v>
      </c>
      <c r="D44" s="68">
        <f>IF(E44=0,0,E44/C44)</f>
        <v>1</v>
      </c>
      <c r="E44" s="27">
        <f>E24+SUM(E28:E29)</f>
        <v>103300</v>
      </c>
      <c r="F44" s="6"/>
      <c r="G44" s="6"/>
      <c r="H44" s="66" t="s">
        <v>129</v>
      </c>
      <c r="I44" s="69">
        <f>E44/(I46-I15-I32)</f>
        <v>0.37908256880733943</v>
      </c>
      <c r="J44" s="13" t="str">
        <f>IF(I44&lt;1,"Liquidity Problem!","")</f>
        <v>Liquidity Problem!</v>
      </c>
    </row>
    <row r="45" spans="2:10" ht="15" customHeight="1" x14ac:dyDescent="0.3">
      <c r="B45" s="66" t="s">
        <v>130</v>
      </c>
      <c r="C45" s="70">
        <f>C44+(C25-C24)+SUM(C30:C33)</f>
        <v>657500</v>
      </c>
      <c r="D45" s="68">
        <f>IF(E45=0,0,E45/C45)</f>
        <v>0.83014448669201524</v>
      </c>
      <c r="E45" s="27">
        <f>E44+(E25-E24)+SUM(E30:E33)</f>
        <v>545820</v>
      </c>
      <c r="F45" s="6"/>
      <c r="G45" s="6"/>
      <c r="H45" s="66" t="s">
        <v>131</v>
      </c>
      <c r="I45" s="69">
        <f>E45/$I$46</f>
        <v>0.56732148425319617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1547300</v>
      </c>
      <c r="D46" s="14">
        <f>E46/C46</f>
        <v>0.65267885994958963</v>
      </c>
      <c r="E46" s="27">
        <f>E26+E42</f>
        <v>1009890</v>
      </c>
      <c r="F46" s="6"/>
      <c r="G46" s="6"/>
      <c r="H46" s="5" t="s">
        <v>133</v>
      </c>
      <c r="I46" s="154">
        <f>I26+I42</f>
        <v>962100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5" t="s">
        <v>210</v>
      </c>
      <c r="C49" s="6"/>
      <c r="D49" s="216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7">
        <f>D4</f>
        <v>0</v>
      </c>
      <c r="D50" s="213">
        <f>IF(E50=0, 0,E50/C50)</f>
        <v>0</v>
      </c>
      <c r="E50" s="217">
        <f>MAX(C50,C50*Dashboard!I10)</f>
        <v>0</v>
      </c>
      <c r="I50" s="156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47">
        <f>D53+D54+D55</f>
        <v>272500</v>
      </c>
      <c r="E52" s="448"/>
      <c r="F52" s="53"/>
      <c r="G52" s="53"/>
    </row>
    <row r="53" spans="2:9" ht="14.5" thickTop="1" x14ac:dyDescent="0.3">
      <c r="B53" s="58" t="s">
        <v>236</v>
      </c>
      <c r="C53" s="6"/>
      <c r="D53" s="450">
        <f>SUM(I11:I13)+SUM(I28:I30)</f>
        <v>272500</v>
      </c>
      <c r="E53" s="401"/>
      <c r="F53" s="5"/>
      <c r="G53" s="5"/>
      <c r="H53" s="3" t="s">
        <v>274</v>
      </c>
      <c r="I53" s="14">
        <f>D53/I3</f>
        <v>0.46565276828434721</v>
      </c>
    </row>
    <row r="54" spans="2:9" ht="14" x14ac:dyDescent="0.3">
      <c r="B54" s="58" t="s">
        <v>136</v>
      </c>
      <c r="C54" s="6"/>
      <c r="D54" s="455">
        <v>0</v>
      </c>
      <c r="E54" s="386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55">
        <v>0</v>
      </c>
      <c r="E55" s="386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9"/>
      <c r="E57" s="449"/>
      <c r="F57" s="19"/>
      <c r="G57" s="19"/>
    </row>
    <row r="58" spans="2:9" ht="15" customHeight="1" x14ac:dyDescent="0.3">
      <c r="B58" s="53" t="s">
        <v>237</v>
      </c>
      <c r="C58" s="212">
        <f>C14+C15+(C19*G19)+(C20*G20)+C29+C30+(C33*G33)+(C34*G34)+(C35*G35)</f>
        <v>5200</v>
      </c>
      <c r="D58" s="128">
        <f>IF(E58=0,0,E58/C58)</f>
        <v>0.63846153846153841</v>
      </c>
      <c r="E58" s="220">
        <f>E14+E15+(E19*G19)+(E20*G20)+E29+E30+(E33*G33)+(E34*G34)+(E35*G35)</f>
        <v>3320</v>
      </c>
      <c r="H58" s="6"/>
    </row>
    <row r="59" spans="2:9" ht="14" x14ac:dyDescent="0.3">
      <c r="B59" s="53" t="s">
        <v>91</v>
      </c>
      <c r="C59" s="212">
        <f>C11+C12+C28</f>
        <v>103300</v>
      </c>
      <c r="D59" s="213">
        <f>IF(E59=0,0,E59/C59)</f>
        <v>1</v>
      </c>
      <c r="E59" s="214">
        <f>E11+E12+E28</f>
        <v>103300</v>
      </c>
      <c r="F59" s="6"/>
      <c r="G59" s="6"/>
    </row>
    <row r="60" spans="2:9" ht="14" x14ac:dyDescent="0.3">
      <c r="B60" s="53" t="s">
        <v>140</v>
      </c>
      <c r="C60" s="6"/>
      <c r="D60" s="453">
        <f>((Dashboard!I6*Data!C4)+D52+E50-C58-C59)</f>
        <v>12028358.899999999</v>
      </c>
      <c r="E60" s="454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265</v>
      </c>
    </row>
    <row r="63" spans="2:9" ht="15" customHeight="1" x14ac:dyDescent="0.3">
      <c r="B63" s="3" t="s">
        <v>268</v>
      </c>
      <c r="D63" s="370">
        <f>((C26-C11-C12-C14-C15-C16*G16-C19*G19-C20*G20)-I26)/Data!C7</f>
        <v>0.13929550727694578</v>
      </c>
      <c r="E63" s="371"/>
    </row>
    <row r="64" spans="2:9" ht="15" customHeight="1" x14ac:dyDescent="0.3">
      <c r="B64" s="3" t="s">
        <v>267</v>
      </c>
      <c r="D64" s="451">
        <v>6.3399999999999998E-2</v>
      </c>
      <c r="E64" s="452"/>
      <c r="F64" s="265" t="s">
        <v>252</v>
      </c>
    </row>
    <row r="65" spans="2:5" ht="15" customHeight="1" x14ac:dyDescent="0.3">
      <c r="B65" s="291" t="s">
        <v>269</v>
      </c>
      <c r="D65" s="451">
        <f>D63</f>
        <v>0.13929550727694578</v>
      </c>
      <c r="E65" s="45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14"/>
  <sheetViews>
    <sheetView showGridLines="0" topLeftCell="A7" zoomScaleNormal="100" zoomScalePageLayoutView="80" workbookViewId="0">
      <selection activeCell="I32" sqref="I32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1" t="s">
        <v>249</v>
      </c>
      <c r="C2" s="285" t="s">
        <v>263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1000USD)</v>
      </c>
      <c r="C3" s="277">
        <f>Data!C3</f>
        <v>44651</v>
      </c>
      <c r="D3" s="28" t="s">
        <v>251</v>
      </c>
      <c r="E3" s="277">
        <f>EOMONTH(EDATE(C3,12),0)</f>
        <v>45016</v>
      </c>
      <c r="F3" s="28" t="s">
        <v>251</v>
      </c>
      <c r="G3" s="277">
        <f>IF(G20="","",EOMONTH(EDATE(E3,12),0))</f>
        <v>45382</v>
      </c>
      <c r="H3" s="28"/>
      <c r="I3" s="277">
        <f>IF(I27="","",EOMONTH(EDATE(G3,12),0))</f>
        <v>45747</v>
      </c>
      <c r="J3" s="296"/>
      <c r="L3" s="72" t="s">
        <v>141</v>
      </c>
    </row>
    <row r="4" spans="1:13" ht="15.75" customHeight="1" x14ac:dyDescent="0.3">
      <c r="B4" s="348" t="s">
        <v>314</v>
      </c>
      <c r="C4" s="293">
        <v>555600</v>
      </c>
      <c r="D4" s="259"/>
      <c r="E4" s="293"/>
      <c r="F4" s="259"/>
      <c r="G4" s="221"/>
      <c r="H4" s="259"/>
      <c r="I4" s="221"/>
      <c r="J4" s="349"/>
      <c r="K4" s="6"/>
      <c r="L4" s="74"/>
      <c r="M4" s="57"/>
    </row>
    <row r="5" spans="1:13" ht="15.75" customHeight="1" x14ac:dyDescent="0.3">
      <c r="B5" s="292" t="s">
        <v>315</v>
      </c>
      <c r="C5" s="293">
        <v>375100</v>
      </c>
      <c r="D5" s="259"/>
      <c r="E5" s="293"/>
      <c r="F5" s="259"/>
      <c r="G5" s="221"/>
      <c r="H5" s="259"/>
      <c r="I5" s="221"/>
      <c r="J5" s="350"/>
      <c r="K5" s="6"/>
      <c r="L5" s="74"/>
      <c r="M5" s="57"/>
    </row>
    <row r="6" spans="1:13" ht="15.75" customHeight="1" x14ac:dyDescent="0.3">
      <c r="B6" s="292" t="s">
        <v>316</v>
      </c>
      <c r="C6" s="293">
        <v>83900</v>
      </c>
      <c r="D6" s="259"/>
      <c r="E6" s="293"/>
      <c r="F6" s="259"/>
      <c r="G6" s="221"/>
      <c r="H6" s="259"/>
      <c r="I6" s="221"/>
      <c r="J6" s="350"/>
      <c r="K6" s="6"/>
      <c r="L6" s="74"/>
      <c r="M6" s="57"/>
    </row>
    <row r="7" spans="1:13" ht="15.75" customHeight="1" x14ac:dyDescent="0.3">
      <c r="B7" s="292" t="s">
        <v>317</v>
      </c>
      <c r="C7" s="293">
        <v>10900</v>
      </c>
      <c r="D7" s="259"/>
      <c r="E7" s="293"/>
      <c r="F7" s="259"/>
      <c r="G7" s="221"/>
      <c r="H7" s="259"/>
      <c r="I7" s="221"/>
      <c r="J7" s="350"/>
      <c r="K7" s="6"/>
      <c r="L7" s="74"/>
      <c r="M7" s="57"/>
    </row>
    <row r="8" spans="1:13" ht="15.75" customHeight="1" x14ac:dyDescent="0.3">
      <c r="B8" s="23" t="s">
        <v>318</v>
      </c>
      <c r="C8" s="351">
        <f>SUM(C4:C7)</f>
        <v>1025500</v>
      </c>
      <c r="D8" s="259">
        <f>C8/C19</f>
        <v>0.4326091541868804</v>
      </c>
      <c r="E8" s="351">
        <f>C8*0.8</f>
        <v>820400</v>
      </c>
      <c r="F8" s="259">
        <f>E8/E19</f>
        <v>0.39607191669551273</v>
      </c>
      <c r="G8" s="351"/>
      <c r="H8" s="259"/>
      <c r="I8" s="221"/>
      <c r="J8" s="350"/>
      <c r="K8" s="6"/>
      <c r="L8" s="74"/>
      <c r="M8" s="57"/>
    </row>
    <row r="9" spans="1:13" ht="15.75" customHeight="1" x14ac:dyDescent="0.3">
      <c r="B9" s="348" t="s">
        <v>314</v>
      </c>
      <c r="C9" s="293">
        <v>274900</v>
      </c>
      <c r="D9" s="259"/>
      <c r="E9" s="293"/>
      <c r="F9" s="259"/>
      <c r="G9" s="221"/>
      <c r="H9" s="259"/>
      <c r="I9" s="221"/>
      <c r="J9" s="350"/>
      <c r="K9" s="6"/>
      <c r="L9" s="74"/>
      <c r="M9" s="57"/>
    </row>
    <row r="10" spans="1:13" ht="15.75" customHeight="1" x14ac:dyDescent="0.3">
      <c r="B10" s="292" t="s">
        <v>315</v>
      </c>
      <c r="C10" s="293">
        <v>93800</v>
      </c>
      <c r="D10" s="259"/>
      <c r="E10" s="293"/>
      <c r="F10" s="259"/>
      <c r="G10" s="221"/>
      <c r="H10" s="259"/>
      <c r="I10" s="221"/>
      <c r="J10" s="350"/>
      <c r="K10" s="6"/>
      <c r="L10" s="74"/>
      <c r="M10" s="57"/>
    </row>
    <row r="11" spans="1:13" ht="15.75" customHeight="1" x14ac:dyDescent="0.3">
      <c r="B11" s="292" t="s">
        <v>316</v>
      </c>
      <c r="C11" s="293">
        <v>27700</v>
      </c>
      <c r="D11" s="259"/>
      <c r="E11" s="293"/>
      <c r="F11" s="259"/>
      <c r="G11" s="221"/>
      <c r="H11" s="259"/>
      <c r="I11" s="221"/>
      <c r="J11" s="350"/>
      <c r="K11" s="6"/>
      <c r="L11" s="74"/>
      <c r="M11" s="57"/>
    </row>
    <row r="12" spans="1:13" ht="15.75" customHeight="1" x14ac:dyDescent="0.3">
      <c r="B12" s="292" t="s">
        <v>317</v>
      </c>
      <c r="C12" s="293">
        <v>10900</v>
      </c>
      <c r="D12" s="259"/>
      <c r="E12" s="293"/>
      <c r="F12" s="259"/>
      <c r="G12" s="221"/>
      <c r="H12" s="259"/>
      <c r="I12" s="221"/>
      <c r="J12" s="286"/>
      <c r="K12" s="6"/>
      <c r="L12" s="74"/>
      <c r="M12" s="57"/>
    </row>
    <row r="13" spans="1:13" ht="15.75" customHeight="1" x14ac:dyDescent="0.3">
      <c r="B13" s="23" t="s">
        <v>319</v>
      </c>
      <c r="C13" s="351">
        <f>SUM(C9:C12)</f>
        <v>407300</v>
      </c>
      <c r="D13" s="259">
        <f>C13/C19</f>
        <v>0.17182029107783167</v>
      </c>
      <c r="E13" s="351">
        <f>C13*0.7</f>
        <v>285110</v>
      </c>
      <c r="F13" s="259">
        <f>E13/E19</f>
        <v>0.13764512941133306</v>
      </c>
      <c r="G13" s="351"/>
      <c r="H13" s="259"/>
      <c r="I13" s="221"/>
      <c r="J13" s="286"/>
      <c r="K13" s="6"/>
      <c r="L13" s="74"/>
      <c r="M13" s="57"/>
    </row>
    <row r="14" spans="1:13" ht="15.75" customHeight="1" x14ac:dyDescent="0.3">
      <c r="B14" s="348" t="s">
        <v>314</v>
      </c>
      <c r="C14" s="293">
        <v>238000</v>
      </c>
      <c r="D14" s="259"/>
      <c r="E14" s="293"/>
      <c r="F14" s="259"/>
      <c r="G14" s="221"/>
      <c r="H14" s="259"/>
      <c r="I14" s="221"/>
      <c r="J14" s="286"/>
      <c r="K14" s="6"/>
      <c r="L14" s="74"/>
      <c r="M14" s="57"/>
    </row>
    <row r="15" spans="1:13" ht="15.75" customHeight="1" x14ac:dyDescent="0.3">
      <c r="B15" s="292" t="s">
        <v>315</v>
      </c>
      <c r="C15" s="293">
        <v>556200</v>
      </c>
      <c r="D15" s="259"/>
      <c r="E15" s="293"/>
      <c r="F15" s="259"/>
      <c r="G15" s="221"/>
      <c r="H15" s="259"/>
      <c r="I15" s="221"/>
      <c r="J15" s="286"/>
      <c r="K15" s="6"/>
      <c r="L15" s="74"/>
      <c r="M15" s="57"/>
    </row>
    <row r="16" spans="1:13" ht="15.75" customHeight="1" x14ac:dyDescent="0.3">
      <c r="B16" s="292" t="s">
        <v>316</v>
      </c>
      <c r="C16" s="293">
        <v>143400</v>
      </c>
      <c r="D16" s="259"/>
      <c r="E16" s="293"/>
      <c r="F16" s="259"/>
      <c r="G16" s="221"/>
      <c r="H16" s="259"/>
      <c r="I16" s="221"/>
      <c r="J16" s="286"/>
      <c r="K16" s="6"/>
      <c r="L16" s="74"/>
      <c r="M16" s="57"/>
    </row>
    <row r="17" spans="2:13" ht="15.75" customHeight="1" x14ac:dyDescent="0.3">
      <c r="B17" s="292" t="s">
        <v>317</v>
      </c>
      <c r="C17" s="293">
        <v>100</v>
      </c>
      <c r="D17" s="259"/>
      <c r="E17" s="293"/>
      <c r="F17" s="259"/>
      <c r="G17" s="221"/>
      <c r="H17" s="259"/>
      <c r="I17" s="221"/>
      <c r="J17" s="286"/>
      <c r="K17" s="6"/>
      <c r="L17" s="74"/>
      <c r="M17" s="57"/>
    </row>
    <row r="18" spans="2:13" ht="15.75" customHeight="1" x14ac:dyDescent="0.3">
      <c r="B18" s="23" t="s">
        <v>320</v>
      </c>
      <c r="C18" s="351">
        <f>SUM(C14:C17)</f>
        <v>937700</v>
      </c>
      <c r="D18" s="259">
        <f>C18/C19</f>
        <v>0.3955705547352879</v>
      </c>
      <c r="E18" s="351">
        <f>C18*1.03</f>
        <v>965831</v>
      </c>
      <c r="F18" s="259">
        <f>E18/E19</f>
        <v>0.46628295389315422</v>
      </c>
      <c r="G18" s="351"/>
      <c r="H18" s="259"/>
      <c r="I18" s="221"/>
      <c r="J18" s="286"/>
      <c r="K18" s="6"/>
      <c r="L18" s="74"/>
      <c r="M18" s="57"/>
    </row>
    <row r="19" spans="2:13" ht="15.75" customHeight="1" x14ac:dyDescent="0.3">
      <c r="B19" s="5" t="s">
        <v>143</v>
      </c>
      <c r="C19" s="179">
        <f>C8+C13+C18</f>
        <v>2370500</v>
      </c>
      <c r="D19" s="258"/>
      <c r="E19" s="179">
        <f>E8+E13+E18</f>
        <v>2071341</v>
      </c>
      <c r="F19" s="258"/>
      <c r="G19" s="179">
        <f>E19*1.05</f>
        <v>2174908.0500000003</v>
      </c>
      <c r="H19" s="258"/>
      <c r="I19" s="227">
        <f>C19*1.05</f>
        <v>2489025</v>
      </c>
      <c r="J19" s="287"/>
      <c r="K19" s="6"/>
      <c r="L19" s="74" t="s">
        <v>271</v>
      </c>
      <c r="M19" s="57"/>
    </row>
    <row r="20" spans="2:13" ht="15.75" customHeight="1" x14ac:dyDescent="0.3">
      <c r="B20" s="17" t="s">
        <v>142</v>
      </c>
      <c r="C20" s="186"/>
      <c r="D20" s="260"/>
      <c r="E20" s="18">
        <f>E19/C19-1</f>
        <v>-0.12620080151866697</v>
      </c>
      <c r="F20" s="260"/>
      <c r="G20" s="73">
        <f>G19/E19-1</f>
        <v>5.0000000000000044E-2</v>
      </c>
      <c r="H20" s="260"/>
      <c r="I20" s="73">
        <f>I19/G19-1</f>
        <v>0.14442769201208283</v>
      </c>
      <c r="J20" s="327"/>
      <c r="K20" s="6"/>
      <c r="L20" s="74"/>
      <c r="M20" s="57"/>
    </row>
    <row r="21" spans="2:13" ht="15.75" customHeight="1" x14ac:dyDescent="0.3">
      <c r="B21" s="8" t="s">
        <v>144</v>
      </c>
      <c r="C21" s="180">
        <f>Data!C9</f>
        <v>1701400</v>
      </c>
      <c r="D21" s="261"/>
      <c r="E21" s="226">
        <f>E19*(1-E22)</f>
        <v>1418868.5850000002</v>
      </c>
      <c r="F21" s="261"/>
      <c r="G21" s="281">
        <f>IF(G19="","",G19*(1-G22))</f>
        <v>1489812.0142500002</v>
      </c>
      <c r="H21" s="261"/>
      <c r="I21" s="281">
        <f>IF(I19="","",I19*(1-I22))</f>
        <v>1749037.8674999999</v>
      </c>
      <c r="J21" s="328"/>
      <c r="K21" s="6"/>
      <c r="L21" s="115"/>
      <c r="M21" s="1"/>
    </row>
    <row r="22" spans="2:13" ht="15.75" customHeight="1" x14ac:dyDescent="0.3">
      <c r="B22" s="17" t="s">
        <v>48</v>
      </c>
      <c r="C22" s="185">
        <f>(C19-C21)/C19</f>
        <v>0.282261126344653</v>
      </c>
      <c r="D22" s="185"/>
      <c r="E22" s="73">
        <v>0.315</v>
      </c>
      <c r="F22" s="185"/>
      <c r="G22" s="73">
        <f>E22</f>
        <v>0.315</v>
      </c>
      <c r="H22" s="185"/>
      <c r="I22" s="73">
        <v>0.29730000000000001</v>
      </c>
      <c r="J22" s="329"/>
      <c r="K22" s="6"/>
      <c r="L22" s="74"/>
    </row>
    <row r="23" spans="2:13" ht="15.75" customHeight="1" x14ac:dyDescent="0.3">
      <c r="B23" s="5" t="s">
        <v>145</v>
      </c>
      <c r="C23" s="27">
        <f>C19-C21</f>
        <v>669100</v>
      </c>
      <c r="D23" s="27"/>
      <c r="E23" s="27">
        <f>E19-E21</f>
        <v>652472.4149999998</v>
      </c>
      <c r="F23" s="27"/>
      <c r="G23" s="27">
        <f>IF(G20="","",G19-G21)</f>
        <v>685096.03575000004</v>
      </c>
      <c r="H23" s="27"/>
      <c r="I23" s="27">
        <f>IF(I20="","",I19-I21)</f>
        <v>739987.13250000007</v>
      </c>
      <c r="J23" s="241"/>
      <c r="K23" s="6"/>
      <c r="L23" s="74"/>
    </row>
    <row r="24" spans="2:13" ht="15.75" customHeight="1" x14ac:dyDescent="0.3">
      <c r="B24" s="17" t="s">
        <v>50</v>
      </c>
      <c r="C24" s="188">
        <f>C25/C19</f>
        <v>0.19607677705125501</v>
      </c>
      <c r="D24" s="188"/>
      <c r="E24" s="225">
        <f>E25/E19</f>
        <v>0.23337152115465296</v>
      </c>
      <c r="F24" s="188"/>
      <c r="G24" s="65">
        <f>G25/G19</f>
        <v>0.22892634932313571</v>
      </c>
      <c r="H24" s="188"/>
      <c r="I24" s="65">
        <f>I25/I19</f>
        <v>0.2060367303663081</v>
      </c>
      <c r="J24" s="330"/>
      <c r="K24" s="6"/>
      <c r="L24" s="74"/>
    </row>
    <row r="25" spans="2:13" ht="15.75" customHeight="1" x14ac:dyDescent="0.3">
      <c r="B25" s="8" t="s">
        <v>146</v>
      </c>
      <c r="C25" s="182">
        <f>304900+75600+84300</f>
        <v>464800</v>
      </c>
      <c r="D25" s="262"/>
      <c r="E25" s="76">
        <f>C25*1.04</f>
        <v>483392</v>
      </c>
      <c r="F25" s="262"/>
      <c r="G25" s="76">
        <f>E25*1.03</f>
        <v>497893.76</v>
      </c>
      <c r="H25" s="262"/>
      <c r="I25" s="76">
        <f>G25*1.03</f>
        <v>512830.57280000002</v>
      </c>
      <c r="J25" s="331"/>
      <c r="K25" s="6"/>
      <c r="L25" s="74"/>
    </row>
    <row r="26" spans="2:13" ht="15.75" customHeight="1" x14ac:dyDescent="0.3">
      <c r="B26" s="17" t="s">
        <v>51</v>
      </c>
      <c r="C26" s="18">
        <f>C28/C19</f>
        <v>8.6184349293398022E-2</v>
      </c>
      <c r="D26" s="18"/>
      <c r="E26" s="18">
        <f>E28/E19</f>
        <v>8.162847884534695E-2</v>
      </c>
      <c r="F26" s="18"/>
      <c r="G26" s="18">
        <f>IF(G20="","",G28/G19)</f>
        <v>8.6073650676864247E-2</v>
      </c>
      <c r="H26" s="18"/>
      <c r="I26" s="18">
        <f>IF(I20="","",I28/I19)</f>
        <v>9.1263269633691926E-2</v>
      </c>
      <c r="J26" s="230"/>
      <c r="K26" s="6"/>
      <c r="L26" s="74"/>
      <c r="M26" s="57"/>
    </row>
    <row r="27" spans="2:13" ht="15.75" customHeight="1" x14ac:dyDescent="0.3">
      <c r="B27" s="17" t="s">
        <v>147</v>
      </c>
      <c r="C27" s="187"/>
      <c r="D27" s="263"/>
      <c r="E27" s="14">
        <f>IF(ABS(C28+E28)=ABS(C28)+ABS(E28),IF(E28&lt;0,-1,1)*(E28-C28)/C28,"Turn")</f>
        <v>-0.17239150758688299</v>
      </c>
      <c r="F27" s="263"/>
      <c r="G27" s="14">
        <f>IF(G20="","",IF(ABS(E28+G28)=ABS(E28)+ABS(G28),IF(G28&lt;0,-1,1)*(G28-E28)/E28,"Turn"))</f>
        <v>0.10717894647940299</v>
      </c>
      <c r="H27" s="263"/>
      <c r="I27" s="14">
        <f>IF(I20="","",IF(ABS(G28+I28)=ABS(G28)+ABS(I28),IF(I28&lt;0,-1,1)*(I28-G28)/G28,"Turn"))</f>
        <v>0.21342840940329758</v>
      </c>
      <c r="J27" s="332"/>
      <c r="K27" s="6"/>
      <c r="L27" s="77"/>
      <c r="M27" s="78"/>
    </row>
    <row r="28" spans="2:13" ht="15.75" customHeight="1" x14ac:dyDescent="0.3">
      <c r="B28" s="133" t="s">
        <v>247</v>
      </c>
      <c r="C28" s="319">
        <f>C23-C25</f>
        <v>204300</v>
      </c>
      <c r="D28" s="320"/>
      <c r="E28" s="319">
        <f>E23-E25</f>
        <v>169080.4149999998</v>
      </c>
      <c r="F28" s="320"/>
      <c r="G28" s="319">
        <f>IF(G20="","",G23-G25)</f>
        <v>187202.27575000003</v>
      </c>
      <c r="H28" s="320"/>
      <c r="I28" s="319">
        <f>IF(I20="","",I23-I25)</f>
        <v>227156.55970000004</v>
      </c>
      <c r="J28" s="333"/>
      <c r="K28" s="6"/>
      <c r="L28" s="79"/>
      <c r="M28" s="56"/>
    </row>
    <row r="29" spans="2:13" ht="15.75" customHeight="1" x14ac:dyDescent="0.3">
      <c r="B29" s="315" t="s">
        <v>148</v>
      </c>
      <c r="C29" s="316">
        <v>0.25</v>
      </c>
      <c r="D29" s="317"/>
      <c r="E29" s="318">
        <f>IF(E28="","",C29)</f>
        <v>0.25</v>
      </c>
      <c r="F29" s="318"/>
      <c r="G29" s="318">
        <f>IF(G28="","",E29)</f>
        <v>0.25</v>
      </c>
      <c r="H29" s="318"/>
      <c r="I29" s="318">
        <f>IF(I28="","",G29)</f>
        <v>0.25</v>
      </c>
      <c r="J29" s="334"/>
    </row>
    <row r="30" spans="2:13" ht="15.75" customHeight="1" x14ac:dyDescent="0.3">
      <c r="B30" s="324" t="s">
        <v>309</v>
      </c>
      <c r="C30" s="263">
        <f>C31/C21</f>
        <v>9.0058187375102863E-2</v>
      </c>
      <c r="D30" s="326"/>
      <c r="E30" s="325">
        <f>E31/E21</f>
        <v>8.9374246910963809E-2</v>
      </c>
      <c r="F30" s="325"/>
      <c r="G30" s="325">
        <f>IF(G21="","",G31/G21)</f>
        <v>9.4241223368829466E-2</v>
      </c>
      <c r="H30" s="325"/>
      <c r="I30" s="325">
        <f>IF(I21="","",I31/I21)</f>
        <v>9.7406364345053287E-2</v>
      </c>
      <c r="J30" s="335"/>
    </row>
    <row r="31" spans="2:13" ht="15.75" customHeight="1" x14ac:dyDescent="0.3">
      <c r="B31" s="321" t="s">
        <v>80</v>
      </c>
      <c r="C31" s="322">
        <f>IF(C28&lt;=0,C28,C28*(1-C29))</f>
        <v>153225</v>
      </c>
      <c r="D31" s="322"/>
      <c r="E31" s="323">
        <f>IF(E28="","",IF(E28&lt;=0,E28,E28*(1-E29)))</f>
        <v>126810.31124999985</v>
      </c>
      <c r="F31" s="322"/>
      <c r="G31" s="323">
        <f>IF(G28="","",IF(G28&lt;=0,G28,G28*(1-G29)))</f>
        <v>140401.70681250002</v>
      </c>
      <c r="H31" s="322"/>
      <c r="I31" s="323">
        <f>IF(I28="","",IF(I28&lt;=0,I28,I28*(1-I29)))</f>
        <v>170367.41977500002</v>
      </c>
      <c r="J31" s="336"/>
    </row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</sheetData>
  <conditionalFormatting sqref="E29:E31">
    <cfRule type="containsBlanks" dxfId="7" priority="6">
      <formula>LEN(TRIM(E29))=0</formula>
    </cfRule>
  </conditionalFormatting>
  <conditionalFormatting sqref="G31 I31">
    <cfRule type="containsBlanks" dxfId="6" priority="8">
      <formula>LEN(TRIM(G31))=0</formula>
    </cfRule>
  </conditionalFormatting>
  <conditionalFormatting sqref="G21:H24 H25:I25">
    <cfRule type="containsBlanks" priority="4">
      <formula>LEN(TRIM(G21))=0</formula>
    </cfRule>
  </conditionalFormatting>
  <conditionalFormatting sqref="G20:I20 G26:I28">
    <cfRule type="containsBlanks" priority="15">
      <formula>LEN(TRIM(G20))=0</formula>
    </cfRule>
  </conditionalFormatting>
  <conditionalFormatting sqref="G21:I24">
    <cfRule type="containsBlanks" dxfId="5" priority="1">
      <formula>LEN(TRIM(G21))=0</formula>
    </cfRule>
  </conditionalFormatting>
  <conditionalFormatting sqref="G20:J31">
    <cfRule type="containsBlanks" dxfId="4" priority="5">
      <formula>LEN(TRIM(G20))=0</formula>
    </cfRule>
  </conditionalFormatting>
  <conditionalFormatting sqref="H25:I25">
    <cfRule type="containsBlanks" dxfId="3" priority="3">
      <formula>LEN(TRIM(H25))=0</formula>
    </cfRule>
  </conditionalFormatting>
  <conditionalFormatting sqref="I20:I24">
    <cfRule type="containsBlanks" priority="2">
      <formula>LEN(TRIM(I20))=0</formula>
    </cfRule>
  </conditionalFormatting>
  <conditionalFormatting sqref="J20:J28">
    <cfRule type="containsBlanks" priority="11">
      <formula>LEN(TRIM(J20))=0</formula>
    </cfRule>
  </conditionalFormatting>
  <conditionalFormatting sqref="J21:J25">
    <cfRule type="containsBlanks" dxfId="2" priority="7">
      <formula>LEN(TRIM(J21))=0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8" sqref="B28:D2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1" t="s">
        <v>225</v>
      </c>
      <c r="C2" s="285" t="s">
        <v>263</v>
      </c>
      <c r="D2" s="285">
        <v>1</v>
      </c>
      <c r="E2" s="285">
        <v>2</v>
      </c>
      <c r="F2" s="285">
        <v>3</v>
      </c>
      <c r="G2" s="285" t="str">
        <f>B24</f>
        <v>Exit after Year 3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7">
        <f>Operation!C3</f>
        <v>44651</v>
      </c>
      <c r="D3" s="277">
        <f>Operation!E3</f>
        <v>45016</v>
      </c>
      <c r="E3" s="277">
        <f>Operation!G3</f>
        <v>45382</v>
      </c>
      <c r="F3" s="277">
        <f>Operation!I3</f>
        <v>45747</v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1">
        <f>Operation!C31</f>
        <v>153225</v>
      </c>
      <c r="D4" s="45">
        <f>Operation!E31</f>
        <v>126810.31124999985</v>
      </c>
      <c r="E4" s="45">
        <f>Operation!G31</f>
        <v>140401.70681250002</v>
      </c>
      <c r="F4" s="200">
        <f>Operation!I31</f>
        <v>170367.41977500002</v>
      </c>
      <c r="G4" s="303">
        <f>IF(F3="",IF(E3="",1,2),3)</f>
        <v>3</v>
      </c>
      <c r="H4" s="6"/>
      <c r="I4" s="352"/>
      <c r="J4" s="56"/>
    </row>
    <row r="5" spans="1:10" ht="15.75" customHeight="1" x14ac:dyDescent="0.3">
      <c r="B5" s="17" t="s">
        <v>279</v>
      </c>
      <c r="C5" s="256"/>
      <c r="D5" s="257">
        <f>D4/C4-1</f>
        <v>-0.17239150758688304</v>
      </c>
      <c r="E5" s="257">
        <f>IF(E4="","",E4/D4-1)</f>
        <v>0.10717894647940307</v>
      </c>
      <c r="F5" s="257">
        <f>IF(F4="","",F4/E4-1)</f>
        <v>0.21342840940329744</v>
      </c>
      <c r="G5" s="197"/>
      <c r="H5" s="6"/>
      <c r="I5" s="352"/>
      <c r="J5" s="56"/>
    </row>
    <row r="6" spans="1:10" ht="15.75" customHeight="1" x14ac:dyDescent="0.3">
      <c r="B6" s="17" t="s">
        <v>68</v>
      </c>
      <c r="C6" s="65">
        <v>0.38619999999999999</v>
      </c>
      <c r="D6" s="225">
        <v>0.38619999999999999</v>
      </c>
      <c r="E6" s="65">
        <v>0.38619999999999999</v>
      </c>
      <c r="F6" s="308">
        <v>0.38619999999999999</v>
      </c>
      <c r="G6" s="198"/>
      <c r="H6" s="6"/>
      <c r="I6" s="353"/>
    </row>
    <row r="7" spans="1:10" ht="15" customHeight="1" thickBot="1" x14ac:dyDescent="0.35">
      <c r="B7" s="81" t="s">
        <v>272</v>
      </c>
      <c r="C7" s="309">
        <f>C4*C6</f>
        <v>59175.494999999995</v>
      </c>
      <c r="D7" s="309">
        <f>D4*D6</f>
        <v>48974.142204749944</v>
      </c>
      <c r="E7" s="310">
        <f>E4*E6</f>
        <v>54223.13917098751</v>
      </c>
      <c r="F7" s="310">
        <f>F4*F6</f>
        <v>65795.897517105012</v>
      </c>
      <c r="G7" s="199"/>
      <c r="H7" s="82"/>
      <c r="I7" s="352"/>
      <c r="J7" s="56"/>
    </row>
    <row r="8" spans="1:10" ht="15.75" customHeight="1" thickTop="1" x14ac:dyDescent="0.3">
      <c r="B8" s="17" t="s">
        <v>149</v>
      </c>
      <c r="C8" s="191">
        <f>IF(C4="","",C4-C7)</f>
        <v>94049.505000000005</v>
      </c>
      <c r="D8" s="190">
        <f>D4-D7</f>
        <v>77836.169045249902</v>
      </c>
      <c r="E8" s="190">
        <f>IF(E4="","",E4-E7)</f>
        <v>86178.56764151252</v>
      </c>
      <c r="F8" s="190">
        <f>IF(F4="","",F4-F7)</f>
        <v>104571.52225789501</v>
      </c>
      <c r="G8" s="228">
        <f>IF(F4="",IF(E4="",D8,E8),F8)</f>
        <v>104571.52225789501</v>
      </c>
      <c r="H8" s="82"/>
      <c r="I8" s="352"/>
      <c r="J8" s="56"/>
    </row>
    <row r="9" spans="1:10" ht="15.75" customHeight="1" x14ac:dyDescent="0.3">
      <c r="B9" s="202" t="s">
        <v>218</v>
      </c>
      <c r="C9" s="192">
        <f>C8/(Common_Shares/Data!$C$4)</f>
        <v>0.37217554669135983</v>
      </c>
      <c r="D9" s="305">
        <f>D8/(Common_Shares/Data!$C$4)</f>
        <v>0.30801564311026386</v>
      </c>
      <c r="E9" s="305">
        <f>IF(E8="","",E8/(Common_Shares/Data!$C$4))</f>
        <v>0.34102843523799781</v>
      </c>
      <c r="F9" s="305">
        <f>IF(F8="","",F8/(Common_Shares/Data!$C$4))</f>
        <v>0.41381359173213905</v>
      </c>
      <c r="G9" s="306">
        <f>G8*Data!C$4/Dashboard!I5</f>
        <v>0.41381359173213905</v>
      </c>
      <c r="H9" s="82"/>
      <c r="I9" s="352"/>
      <c r="J9" s="56"/>
    </row>
    <row r="10" spans="1:10" ht="15.75" customHeight="1" x14ac:dyDescent="0.3">
      <c r="B10" s="233" t="s">
        <v>248</v>
      </c>
      <c r="C10" s="311">
        <f>C11/C9</f>
        <v>1.8270947837524503</v>
      </c>
      <c r="D10" s="311">
        <f>D11/D9</f>
        <v>1.5258965267285101</v>
      </c>
      <c r="E10" s="342"/>
      <c r="F10" s="342"/>
      <c r="G10" s="234"/>
      <c r="H10" s="82"/>
      <c r="I10" s="352"/>
      <c r="J10" s="56"/>
    </row>
    <row r="11" spans="1:10" ht="15.75" customHeight="1" x14ac:dyDescent="0.3">
      <c r="B11" s="233" t="s">
        <v>262</v>
      </c>
      <c r="C11" s="283">
        <f>0.51+0.17</f>
        <v>0.68</v>
      </c>
      <c r="D11" s="284">
        <f>0.17+0.3</f>
        <v>0.47</v>
      </c>
      <c r="E11" s="343"/>
      <c r="F11" s="343"/>
      <c r="G11" s="282"/>
      <c r="H11" s="82"/>
      <c r="I11" s="352" t="s">
        <v>323</v>
      </c>
      <c r="J11" s="56"/>
    </row>
    <row r="12" spans="1:10" ht="15.75" customHeight="1" x14ac:dyDescent="0.3">
      <c r="B12" s="19" t="s">
        <v>280</v>
      </c>
      <c r="C12" s="235">
        <v>0</v>
      </c>
      <c r="D12" s="235">
        <f>0.36</f>
        <v>0.36</v>
      </c>
      <c r="E12" s="344"/>
      <c r="F12" s="344"/>
      <c r="G12" s="229">
        <f>G9*D26</f>
        <v>6.6210174677142248</v>
      </c>
      <c r="H12" s="82"/>
      <c r="I12" s="352"/>
      <c r="J12" s="56"/>
    </row>
    <row r="13" spans="1:10" ht="15.75" customHeight="1" x14ac:dyDescent="0.3">
      <c r="B13" s="17" t="s">
        <v>150</v>
      </c>
      <c r="C13" s="189"/>
      <c r="D13" s="222">
        <f ca="1">Dashboard!C12</f>
        <v>9.6000000000000002E-2</v>
      </c>
      <c r="E13" s="18">
        <f ca="1">IF(E4="","",D13)</f>
        <v>9.6000000000000002E-2</v>
      </c>
      <c r="F13" s="18">
        <f ca="1">IF(F4="","",D13)</f>
        <v>9.6000000000000002E-2</v>
      </c>
      <c r="G13" s="230">
        <f ca="1">Dashboard!C12</f>
        <v>9.6000000000000002E-2</v>
      </c>
      <c r="H13" s="62"/>
      <c r="I13" s="353"/>
      <c r="J13" s="57"/>
    </row>
    <row r="14" spans="1:10" ht="15.75" customHeight="1" thickBot="1" x14ac:dyDescent="0.35">
      <c r="B14" s="83" t="s">
        <v>151</v>
      </c>
      <c r="C14" s="113"/>
      <c r="D14" s="223">
        <f ca="1">IF(D4="","",1+D13)</f>
        <v>1.0960000000000001</v>
      </c>
      <c r="E14" s="224">
        <f ca="1">IF(E4="","",(1+D13)*(1+E13))</f>
        <v>1.2012160000000003</v>
      </c>
      <c r="F14" s="224">
        <f ca="1">IF(F4="","",(1+D13)*(1+E13)*(1+F13))</f>
        <v>1.3165327360000003</v>
      </c>
      <c r="G14" s="231">
        <f ca="1">IF(F4="",IF(E4="",D14,E14),F14)*(1+G13)</f>
        <v>1.4429198786560005</v>
      </c>
      <c r="H14" s="62"/>
      <c r="I14" s="353"/>
      <c r="J14" s="57"/>
    </row>
    <row r="15" spans="1:10" ht="15.75" customHeight="1" thickTop="1" x14ac:dyDescent="0.3">
      <c r="B15" s="8" t="s">
        <v>305</v>
      </c>
      <c r="C15" s="236">
        <f>C12</f>
        <v>0</v>
      </c>
      <c r="D15" s="194">
        <f ca="1">IF(D12="","",MAX(D9-D11+D12,D12)/D14)</f>
        <v>0.32846715328467152</v>
      </c>
      <c r="E15" s="195">
        <f ca="1">IF(E9="","",E9/E14)</f>
        <v>0.28390267465468139</v>
      </c>
      <c r="F15" s="195">
        <f ca="1">IF(F9="","",F9/F14)</f>
        <v>0.31432077639741951</v>
      </c>
      <c r="G15" s="232">
        <f ca="1">IF(G12=0,0,G12/G14)</f>
        <v>4.5886244729550292</v>
      </c>
      <c r="H15" s="80"/>
      <c r="I15" s="352"/>
      <c r="J15" s="56"/>
    </row>
    <row r="16" spans="1:10" ht="15.75" customHeight="1" x14ac:dyDescent="0.3">
      <c r="F16" s="6"/>
      <c r="G16" s="114"/>
      <c r="I16" s="74"/>
    </row>
    <row r="17" spans="1:9" ht="15.75" customHeight="1" x14ac:dyDescent="0.3">
      <c r="B17" s="26" t="s">
        <v>221</v>
      </c>
      <c r="C17" s="193" t="str">
        <f>B3</f>
        <v>(Numbers in 1000USD)</v>
      </c>
      <c r="E17" s="72" t="s">
        <v>222</v>
      </c>
      <c r="I17" s="74"/>
    </row>
    <row r="18" spans="1:9" ht="15.75" customHeight="1" x14ac:dyDescent="0.3">
      <c r="B18" s="58" t="s">
        <v>241</v>
      </c>
      <c r="C18" s="84">
        <f>Asset_Model!E59</f>
        <v>103300</v>
      </c>
      <c r="D18" s="218">
        <f>C18/(Dashboard!I5/Data!C4)</f>
        <v>0.40878188538278287</v>
      </c>
      <c r="E18" s="85" t="s">
        <v>238</v>
      </c>
      <c r="G18" s="136">
        <f>C18+C19+C20+C21</f>
        <v>-165880</v>
      </c>
      <c r="I18" s="74"/>
    </row>
    <row r="19" spans="1:9" ht="15.75" customHeight="1" x14ac:dyDescent="0.3">
      <c r="B19" s="58" t="s">
        <v>245</v>
      </c>
      <c r="C19" s="84">
        <f>Asset_Model!E58</f>
        <v>3320</v>
      </c>
      <c r="D19" s="218">
        <f>C19/(Dashboard!I5/Data!C4)</f>
        <v>1.3138004447926807E-2</v>
      </c>
      <c r="E19" s="85" t="s">
        <v>239</v>
      </c>
      <c r="G19" s="196">
        <f>(G18+MIN(D4,0))*Data!C$4/Dashboard!I5</f>
        <v>-0.65642535476569241</v>
      </c>
      <c r="I19" s="74"/>
    </row>
    <row r="20" spans="1:9" ht="15.75" customHeight="1" x14ac:dyDescent="0.3">
      <c r="B20" s="58" t="s">
        <v>223</v>
      </c>
      <c r="C20" s="84">
        <f>-Asset_Model!D52</f>
        <v>-272500</v>
      </c>
      <c r="D20" s="218">
        <f>C20/(Dashboard!I5/Data!C4)</f>
        <v>-1.0783452445964021</v>
      </c>
      <c r="E20" s="458" t="str">
        <f>IF(F21+G21=G19,"⇒","Error!")</f>
        <v>⇒</v>
      </c>
      <c r="F20" s="145" t="s">
        <v>246</v>
      </c>
      <c r="G20" s="87" t="s">
        <v>23</v>
      </c>
      <c r="I20" s="74"/>
    </row>
    <row r="21" spans="1:9" ht="15.75" customHeight="1" x14ac:dyDescent="0.3">
      <c r="B21" s="85" t="s">
        <v>240</v>
      </c>
      <c r="C21" s="84">
        <f>-Asset_Model!E50</f>
        <v>0</v>
      </c>
      <c r="D21" s="218">
        <f>C21/(Dashboard!I5/Data!C4)</f>
        <v>0</v>
      </c>
      <c r="E21" s="458"/>
      <c r="F21" s="147">
        <f>D18</f>
        <v>0.40878188538278287</v>
      </c>
      <c r="G21" s="146">
        <f>SUM(D19:D21)</f>
        <v>-1.0652072401484753</v>
      </c>
      <c r="I21" s="74"/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3" t="str">
        <f>B3</f>
        <v>(Numbers in 1000USD)</v>
      </c>
      <c r="E23" s="461" t="s">
        <v>231</v>
      </c>
      <c r="F23" s="461"/>
      <c r="G23" s="461"/>
    </row>
    <row r="24" spans="1:9" ht="15.75" customHeight="1" x14ac:dyDescent="0.3">
      <c r="B24" s="126" t="str">
        <f>"Exit after Year "&amp;G4</f>
        <v>Exit after Year 3</v>
      </c>
      <c r="C24" s="126" t="s">
        <v>227</v>
      </c>
      <c r="D24" s="201" t="s">
        <v>220</v>
      </c>
      <c r="E24" s="304" t="s">
        <v>228</v>
      </c>
      <c r="F24" s="264" t="s">
        <v>230</v>
      </c>
      <c r="G24" s="264" t="s">
        <v>229</v>
      </c>
      <c r="I24" s="86" t="s">
        <v>141</v>
      </c>
    </row>
    <row r="25" spans="1:9" ht="15.75" customHeight="1" x14ac:dyDescent="0.3">
      <c r="B25" s="30" t="s">
        <v>303</v>
      </c>
      <c r="C25" s="14">
        <f>1/D25</f>
        <v>8.3333333333333329E-2</v>
      </c>
      <c r="D25" s="297">
        <v>12</v>
      </c>
      <c r="E25" s="205">
        <f ca="1">G9*D25/G14</f>
        <v>3.4414683547162719</v>
      </c>
      <c r="F25" s="459">
        <f ca="1">SUM(C15:F15)</f>
        <v>0.92669060433677242</v>
      </c>
      <c r="G25" s="205">
        <f ca="1">$F$25+E25+$G$19</f>
        <v>3.7117336042873519</v>
      </c>
      <c r="I25" s="74" t="s">
        <v>322</v>
      </c>
    </row>
    <row r="26" spans="1:9" ht="15.75" customHeight="1" x14ac:dyDescent="0.3">
      <c r="B26" s="301" t="s">
        <v>304</v>
      </c>
      <c r="C26" s="302">
        <f t="shared" ref="C26" si="0">1/D26</f>
        <v>6.25E-2</v>
      </c>
      <c r="D26" s="314">
        <v>16</v>
      </c>
      <c r="E26" s="206">
        <f ca="1">G9*D26/G14</f>
        <v>4.5886244729550292</v>
      </c>
      <c r="F26" s="460"/>
      <c r="G26" s="206">
        <f ca="1">$F$25+E26+$G$19</f>
        <v>4.8588897225261096</v>
      </c>
      <c r="I26" s="74"/>
    </row>
    <row r="27" spans="1:9" ht="15.75" customHeight="1" x14ac:dyDescent="0.3">
      <c r="B27" s="30"/>
      <c r="C27" s="366"/>
      <c r="D27" s="367"/>
      <c r="E27" s="122"/>
      <c r="F27" s="123"/>
      <c r="G27" s="122"/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49" t="str">
        <f>"(Numbers in "&amp;Dashboard!J4&amp;" per share)"</f>
        <v>(Numbers in HKD per share)</v>
      </c>
      <c r="D29" s="126"/>
      <c r="E29" s="132"/>
      <c r="F29" s="126"/>
      <c r="G29" s="126"/>
      <c r="H29" s="12"/>
      <c r="I29" s="89"/>
    </row>
    <row r="30" spans="1:9" ht="15.75" customHeight="1" x14ac:dyDescent="0.3">
      <c r="A30" s="6"/>
      <c r="B30" s="71" t="s">
        <v>152</v>
      </c>
      <c r="C30" s="251">
        <f ca="1">MIN(Asset_Model!D7,G25*Exchange_Rate)+(ABS(Asset_Model!D7-G25*Exchange_Rate)*'Qualitative Analysis'!E8)</f>
        <v>21.386628436682489</v>
      </c>
      <c r="D30" s="23" t="str">
        <f ca="1">IF(C30&lt;E30,"&lt;",IF(C30=E30,"=","&gt;"))</f>
        <v>&lt;</v>
      </c>
      <c r="E30" s="250">
        <f ca="1">G26*Exchange_Rate</f>
        <v>38.128437296726545</v>
      </c>
      <c r="F30" s="30"/>
      <c r="H30" s="6"/>
      <c r="I30" s="6"/>
    </row>
    <row r="31" spans="1:9" ht="15.75" customHeight="1" x14ac:dyDescent="0.3">
      <c r="A31" s="6"/>
      <c r="B31" s="71"/>
      <c r="C31" s="368"/>
      <c r="D31" s="23"/>
      <c r="E31" s="122"/>
      <c r="F31" s="30"/>
      <c r="H31" s="6"/>
      <c r="I31" s="6"/>
    </row>
    <row r="32" spans="1:9" ht="15.75" customHeight="1" x14ac:dyDescent="0.3">
      <c r="C32" s="456" t="s">
        <v>153</v>
      </c>
      <c r="D32" s="457"/>
      <c r="E32" s="30" t="s">
        <v>219</v>
      </c>
      <c r="F32" s="30" t="s">
        <v>18</v>
      </c>
      <c r="G32" s="30"/>
      <c r="H32" s="6"/>
    </row>
    <row r="33" spans="2:9" ht="15.75" customHeight="1" x14ac:dyDescent="0.3">
      <c r="B33" s="255" t="s">
        <v>233</v>
      </c>
      <c r="C33" s="252">
        <f ca="1">MIN(C30,E30)+ABS(C30-E30)*'Qualitative Analysis'!$E$64</f>
        <v>31.495349709855518</v>
      </c>
      <c r="D33" s="118" t="str">
        <f>Dashboard!J4</f>
        <v>HKD</v>
      </c>
      <c r="E33" s="119">
        <f ca="1">(C33-G19)/C9</f>
        <v>86.388736042575758</v>
      </c>
      <c r="F33" s="157">
        <f ca="1">C33/(Data!C28*Exchange_Rate*Data!C4/Common_Shares)</f>
        <v>1.4941744879977181</v>
      </c>
      <c r="G33" s="87"/>
      <c r="H33" s="6"/>
      <c r="I33" s="74"/>
    </row>
    <row r="34" spans="2:9" ht="15.75" customHeight="1" x14ac:dyDescent="0.3">
      <c r="B34" s="254" t="s">
        <v>232</v>
      </c>
      <c r="C34" s="253">
        <f ca="1">MAX(Asset_Model!D7,(G12/(1+G34)^G4+F25+G19)*Exchange_Rate)</f>
        <v>44.060370382556357</v>
      </c>
      <c r="D34" s="207" t="str">
        <f>D33</f>
        <v>HKD</v>
      </c>
      <c r="E34" s="119">
        <f ca="1">(C34-G19)/C9</f>
        <v>120.14974152615429</v>
      </c>
      <c r="F34" s="157">
        <f ca="1">C34/(Data!C28*Exchange_Rate*Data!C4/Common_Shares)</f>
        <v>2.0902730709081552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24" sqref="E2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4"/>
      <c r="D2" s="12"/>
      <c r="E2" s="12"/>
      <c r="G2" s="72" t="s">
        <v>141</v>
      </c>
    </row>
    <row r="3" spans="1:7" ht="14" x14ac:dyDescent="0.3">
      <c r="B3" s="6" t="s">
        <v>284</v>
      </c>
      <c r="C3" s="95"/>
      <c r="D3" s="93">
        <f>IF(E3="Strongly disagree",0,IF(E3="disagree",1,IF(E3="unclear",2,IF(E3="agree",3,4))))</f>
        <v>3</v>
      </c>
      <c r="E3" s="31" t="s">
        <v>156</v>
      </c>
      <c r="G3" s="79" t="s">
        <v>287</v>
      </c>
    </row>
    <row r="4" spans="1:7" ht="14" x14ac:dyDescent="0.3">
      <c r="B4" s="6" t="s">
        <v>288</v>
      </c>
      <c r="C4" s="95"/>
      <c r="D4" s="93">
        <f t="shared" ref="D4" si="0">IF(E4="Strongly disagree",0,IF(E4="disagree",1,IF(E4="unclear",2,IF(E4="agree",3,4))))</f>
        <v>4</v>
      </c>
      <c r="E4" s="31" t="s">
        <v>165</v>
      </c>
      <c r="G4" s="77"/>
    </row>
    <row r="5" spans="1:7" ht="14" x14ac:dyDescent="0.3">
      <c r="B5" s="6" t="s">
        <v>281</v>
      </c>
      <c r="C5" s="95"/>
      <c r="D5" s="93">
        <f>AVERAGE(D12:D16)</f>
        <v>2</v>
      </c>
      <c r="E5" s="101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282</v>
      </c>
      <c r="C6" s="95"/>
      <c r="D6" s="93">
        <f>AVERAGE(D24:D28)</f>
        <v>3.4</v>
      </c>
      <c r="E6" s="101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283</v>
      </c>
      <c r="C7" s="95"/>
      <c r="D7" s="99">
        <f>IF(E7="Strongly disagree",0,IF(E7="disagree",1,IF(E7="unclear",2,IF(E7="agree",3,4))))</f>
        <v>2</v>
      </c>
      <c r="E7" s="100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6" t="s">
        <v>157</v>
      </c>
      <c r="C8" s="95"/>
      <c r="D8" s="93">
        <f>AVERAGE(D3:D7)</f>
        <v>2.88</v>
      </c>
      <c r="E8" s="97">
        <f>D8/4</f>
        <v>0.72</v>
      </c>
      <c r="G8" s="77"/>
    </row>
    <row r="9" spans="1:7" ht="14" x14ac:dyDescent="0.3">
      <c r="B9" s="95"/>
      <c r="C9" s="95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4"/>
    </row>
    <row r="11" spans="1:7" ht="15" customHeight="1" x14ac:dyDescent="0.3">
      <c r="B11" s="98" t="s">
        <v>159</v>
      </c>
      <c r="C11" s="92"/>
      <c r="E11" s="6"/>
      <c r="G11" s="294"/>
    </row>
    <row r="12" spans="1:7" ht="15" customHeight="1" x14ac:dyDescent="0.3">
      <c r="B12" s="53" t="s">
        <v>285</v>
      </c>
      <c r="D12" s="99">
        <f>IF(E12="Strongly disagree",0,IF(E12="disagree",1,IF(E12="unclear",2,IF(E12="agree",3,4))))</f>
        <v>0</v>
      </c>
      <c r="E12" s="31" t="s">
        <v>178</v>
      </c>
      <c r="F12" s="6"/>
      <c r="G12" s="294" t="s">
        <v>286</v>
      </c>
    </row>
    <row r="13" spans="1:7" ht="15" customHeight="1" x14ac:dyDescent="0.3">
      <c r="B13" s="53" t="s">
        <v>160</v>
      </c>
      <c r="D13" s="99">
        <f>IF(E13="Strongly disagree",0,IF(E13="disagree",1,IF(E13="unclear",2,IF(E13="agree",3,4))))</f>
        <v>3</v>
      </c>
      <c r="E13" s="31" t="s">
        <v>156</v>
      </c>
      <c r="F13" s="6"/>
      <c r="G13" s="294"/>
    </row>
    <row r="14" spans="1:7" ht="15" customHeight="1" x14ac:dyDescent="0.3">
      <c r="B14" s="53" t="s">
        <v>161</v>
      </c>
      <c r="D14" s="99">
        <f>IF(E14="Strongly disagree",0,IF(E14="disagree",1,IF(E14="unclear",2,IF(E14="agree",3,4))))</f>
        <v>3</v>
      </c>
      <c r="E14" s="31" t="s">
        <v>156</v>
      </c>
      <c r="F14" s="6"/>
      <c r="G14" s="294"/>
    </row>
    <row r="15" spans="1:7" ht="15" customHeight="1" x14ac:dyDescent="0.3">
      <c r="B15" s="53" t="s">
        <v>162</v>
      </c>
      <c r="D15" s="99">
        <f>IF(E15="Strongly disagree",0,IF(E15="disagree",1,IF(E15="unclear",2,IF(E15="agree",3,4))))</f>
        <v>0</v>
      </c>
      <c r="E15" s="31" t="s">
        <v>178</v>
      </c>
      <c r="F15" s="6"/>
      <c r="G15" s="294"/>
    </row>
    <row r="16" spans="1:7" ht="15" customHeight="1" x14ac:dyDescent="0.3">
      <c r="B16" s="53" t="s">
        <v>164</v>
      </c>
      <c r="D16" s="99">
        <f>IF(E16="Strongly disagree",0,IF(E16="disagree",1,IF(E16="unclear",2,IF(E16="agree",3,4))))</f>
        <v>4</v>
      </c>
      <c r="E16" s="31" t="s">
        <v>165</v>
      </c>
      <c r="F16" s="6"/>
      <c r="G16" s="294"/>
    </row>
    <row r="17" spans="2:7" ht="15" customHeight="1" x14ac:dyDescent="0.3">
      <c r="B17" s="98" t="s">
        <v>166</v>
      </c>
      <c r="D17" s="38"/>
      <c r="E17" s="23"/>
      <c r="G17" s="294"/>
    </row>
    <row r="18" spans="2:7" ht="15" customHeight="1" x14ac:dyDescent="0.3">
      <c r="B18" s="53" t="s">
        <v>308</v>
      </c>
      <c r="D18" s="99">
        <f>Asset_Model!J26</f>
        <v>1</v>
      </c>
      <c r="E18" s="49" t="str">
        <f>IF(D18&gt;=3.5,"Strongly agree",IF(D18&gt;=2.5,"agree",IF(D18&gt;=1.5,"unclear",IF(D18&gt;=0.5,"disagree","Strongly disagree"))))</f>
        <v>disagree</v>
      </c>
      <c r="F18" s="6"/>
      <c r="G18" s="294"/>
    </row>
    <row r="19" spans="2:7" ht="15" customHeight="1" x14ac:dyDescent="0.3">
      <c r="B19" s="53" t="s">
        <v>167</v>
      </c>
      <c r="D19" s="99">
        <f t="shared" ref="D19:D22" si="1">IF(E19="Strongly disagree",0,IF(E19="disagree",1,IF(E19="unclear",2,IF(E19="agree",3,4))))</f>
        <v>3</v>
      </c>
      <c r="E19" s="31" t="s">
        <v>156</v>
      </c>
      <c r="F19" s="6"/>
      <c r="G19" s="294"/>
    </row>
    <row r="20" spans="2:7" ht="15" customHeight="1" x14ac:dyDescent="0.3">
      <c r="B20" s="53" t="s">
        <v>168</v>
      </c>
      <c r="D20" s="99">
        <f t="shared" si="1"/>
        <v>1</v>
      </c>
      <c r="E20" s="31" t="s">
        <v>163</v>
      </c>
      <c r="F20" s="6"/>
      <c r="G20" s="294"/>
    </row>
    <row r="21" spans="2:7" ht="15" customHeight="1" x14ac:dyDescent="0.3">
      <c r="B21" s="53" t="s">
        <v>169</v>
      </c>
      <c r="D21" s="99">
        <f t="shared" si="1"/>
        <v>3</v>
      </c>
      <c r="E21" s="31" t="s">
        <v>156</v>
      </c>
      <c r="F21" s="6"/>
      <c r="G21" s="294"/>
    </row>
    <row r="22" spans="2:7" ht="15" customHeight="1" x14ac:dyDescent="0.3">
      <c r="B22" s="53" t="s">
        <v>170</v>
      </c>
      <c r="D22" s="99">
        <f t="shared" si="1"/>
        <v>1</v>
      </c>
      <c r="E22" s="31" t="s">
        <v>163</v>
      </c>
      <c r="F22" s="6"/>
      <c r="G22" s="294"/>
    </row>
    <row r="23" spans="2:7" ht="15" customHeight="1" x14ac:dyDescent="0.3">
      <c r="B23" s="98" t="s">
        <v>171</v>
      </c>
      <c r="D23" s="38"/>
      <c r="E23" s="23"/>
      <c r="G23" s="294"/>
    </row>
    <row r="24" spans="2:7" ht="15" customHeight="1" x14ac:dyDescent="0.3">
      <c r="B24" s="53" t="s">
        <v>172</v>
      </c>
      <c r="D24" s="99">
        <f t="shared" ref="D24:D28" si="2">IF(E24="Strongly disagree",0,IF(E24="disagree",1,IF(E24="unclear",2,IF(E24="agree",3,4))))</f>
        <v>4</v>
      </c>
      <c r="E24" s="31" t="s">
        <v>165</v>
      </c>
      <c r="F24" s="6"/>
      <c r="G24" s="294"/>
    </row>
    <row r="25" spans="2:7" ht="15" customHeight="1" x14ac:dyDescent="0.3">
      <c r="B25" s="53" t="s">
        <v>173</v>
      </c>
      <c r="D25" s="99">
        <f t="shared" si="2"/>
        <v>3</v>
      </c>
      <c r="E25" s="31" t="s">
        <v>156</v>
      </c>
      <c r="F25" s="6"/>
      <c r="G25" s="294"/>
    </row>
    <row r="26" spans="2:7" ht="15" customHeight="1" x14ac:dyDescent="0.3">
      <c r="B26" s="53" t="s">
        <v>289</v>
      </c>
      <c r="D26" s="99">
        <f t="shared" si="2"/>
        <v>3</v>
      </c>
      <c r="E26" s="31" t="s">
        <v>156</v>
      </c>
      <c r="F26" s="6"/>
      <c r="G26" s="294"/>
    </row>
    <row r="27" spans="2:7" ht="15" customHeight="1" x14ac:dyDescent="0.3">
      <c r="B27" s="53" t="s">
        <v>290</v>
      </c>
      <c r="D27" s="99">
        <f t="shared" si="2"/>
        <v>4</v>
      </c>
      <c r="E27" s="31" t="s">
        <v>165</v>
      </c>
      <c r="F27" s="6"/>
      <c r="G27" s="294"/>
    </row>
    <row r="28" spans="2:7" ht="15" customHeight="1" x14ac:dyDescent="0.3">
      <c r="B28" s="53" t="s">
        <v>174</v>
      </c>
      <c r="D28" s="99">
        <f t="shared" si="2"/>
        <v>3</v>
      </c>
      <c r="E28" s="31" t="s">
        <v>156</v>
      </c>
      <c r="F28" s="6"/>
      <c r="G28" s="294"/>
    </row>
    <row r="29" spans="2:7" ht="15" customHeight="1" x14ac:dyDescent="0.3">
      <c r="B29" s="98" t="s">
        <v>175</v>
      </c>
      <c r="D29" s="38"/>
      <c r="E29" s="23"/>
      <c r="G29" s="294"/>
    </row>
    <row r="30" spans="2:7" ht="15" customHeight="1" x14ac:dyDescent="0.3">
      <c r="B30" s="1" t="s">
        <v>176</v>
      </c>
      <c r="D30" s="102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94"/>
    </row>
    <row r="31" spans="2:7" ht="15" customHeight="1" x14ac:dyDescent="0.3">
      <c r="B31" s="53" t="s">
        <v>177</v>
      </c>
      <c r="D31" s="99">
        <f t="shared" ref="D31:D35" si="3">IF(E31="Strongly disagree",0,IF(E31="disagree",1,IF(E31="unclear",2,IF(E31="agree",3,4))))</f>
        <v>0</v>
      </c>
      <c r="E31" s="31" t="s">
        <v>178</v>
      </c>
      <c r="F31" s="6"/>
      <c r="G31" s="294"/>
    </row>
    <row r="32" spans="2:7" ht="15" customHeight="1" x14ac:dyDescent="0.3">
      <c r="B32" s="53" t="s">
        <v>291</v>
      </c>
      <c r="D32" s="99">
        <f t="shared" si="3"/>
        <v>4</v>
      </c>
      <c r="E32" s="31" t="s">
        <v>165</v>
      </c>
      <c r="F32" s="6"/>
      <c r="G32" s="294"/>
    </row>
    <row r="33" spans="2:7" ht="15" customHeight="1" x14ac:dyDescent="0.3">
      <c r="B33" s="53" t="s">
        <v>292</v>
      </c>
      <c r="D33" s="99">
        <f t="shared" si="3"/>
        <v>1</v>
      </c>
      <c r="E33" s="31" t="s">
        <v>163</v>
      </c>
      <c r="F33" s="6"/>
      <c r="G33" s="294"/>
    </row>
    <row r="34" spans="2:7" ht="15" customHeight="1" x14ac:dyDescent="0.3">
      <c r="B34" s="53" t="s">
        <v>293</v>
      </c>
      <c r="D34" s="99">
        <f t="shared" si="3"/>
        <v>1</v>
      </c>
      <c r="E34" s="31" t="s">
        <v>163</v>
      </c>
      <c r="F34" s="6"/>
      <c r="G34" s="294"/>
    </row>
    <row r="35" spans="2:7" ht="15" customHeight="1" x14ac:dyDescent="0.3">
      <c r="B35" s="53" t="s">
        <v>310</v>
      </c>
      <c r="D35" s="99">
        <f t="shared" si="3"/>
        <v>2</v>
      </c>
      <c r="E35" s="31" t="s">
        <v>155</v>
      </c>
      <c r="G35" s="294"/>
    </row>
    <row r="36" spans="2:7" ht="15" customHeight="1" x14ac:dyDescent="0.3">
      <c r="B36" s="1" t="s">
        <v>179</v>
      </c>
      <c r="D36" s="102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4"/>
    </row>
    <row r="37" spans="2:7" ht="15" customHeight="1" x14ac:dyDescent="0.3">
      <c r="B37" s="53" t="s">
        <v>180</v>
      </c>
      <c r="D37" s="99">
        <f t="shared" ref="D37:D41" si="4">IF(E37="Strongly disagree",0,IF(E37="disagree",1,IF(E37="unclear",2,IF(E37="agree",3,4))))</f>
        <v>0</v>
      </c>
      <c r="E37" s="31" t="s">
        <v>178</v>
      </c>
      <c r="F37" s="6"/>
      <c r="G37" s="294"/>
    </row>
    <row r="38" spans="2:7" ht="15" customHeight="1" x14ac:dyDescent="0.3">
      <c r="B38" s="53" t="s">
        <v>294</v>
      </c>
      <c r="D38" s="99">
        <f t="shared" si="4"/>
        <v>0</v>
      </c>
      <c r="E38" s="31" t="s">
        <v>178</v>
      </c>
      <c r="F38" s="6"/>
      <c r="G38" s="294"/>
    </row>
    <row r="39" spans="2:7" ht="15" customHeight="1" x14ac:dyDescent="0.3">
      <c r="B39" s="53" t="s">
        <v>295</v>
      </c>
      <c r="D39" s="99">
        <f t="shared" si="4"/>
        <v>0</v>
      </c>
      <c r="E39" s="31" t="s">
        <v>178</v>
      </c>
      <c r="F39" s="6"/>
      <c r="G39" s="294"/>
    </row>
    <row r="40" spans="2:7" ht="15" customHeight="1" x14ac:dyDescent="0.3">
      <c r="B40" s="53" t="s">
        <v>296</v>
      </c>
      <c r="D40" s="99">
        <f t="shared" si="4"/>
        <v>4</v>
      </c>
      <c r="E40" s="31" t="s">
        <v>165</v>
      </c>
      <c r="F40" s="6"/>
      <c r="G40" s="294"/>
    </row>
    <row r="41" spans="2:7" ht="15" customHeight="1" x14ac:dyDescent="0.3">
      <c r="B41" s="53" t="s">
        <v>297</v>
      </c>
      <c r="D41" s="99">
        <f t="shared" si="4"/>
        <v>0</v>
      </c>
      <c r="E41" s="31" t="s">
        <v>178</v>
      </c>
      <c r="G41" s="294"/>
    </row>
    <row r="42" spans="2:7" ht="15" customHeight="1" x14ac:dyDescent="0.3">
      <c r="B42" s="1" t="s">
        <v>181</v>
      </c>
      <c r="D42" s="102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182</v>
      </c>
      <c r="D43" s="99">
        <f t="shared" ref="D43:D48" si="5">IF(E43="Strongly disagree",0,IF(E43="disagree",1,IF(E43="unclear",2,IF(E43="agree",3,4))))</f>
        <v>0</v>
      </c>
      <c r="E43" s="31" t="s">
        <v>178</v>
      </c>
      <c r="F43" s="6"/>
      <c r="G43" s="294"/>
    </row>
    <row r="44" spans="2:7" ht="15" customHeight="1" x14ac:dyDescent="0.3">
      <c r="B44" s="53" t="s">
        <v>183</v>
      </c>
      <c r="D44" s="99">
        <f t="shared" si="5"/>
        <v>1</v>
      </c>
      <c r="E44" s="31" t="s">
        <v>163</v>
      </c>
      <c r="F44" s="6"/>
      <c r="G44" s="294"/>
    </row>
    <row r="45" spans="2:7" ht="15" customHeight="1" x14ac:dyDescent="0.3">
      <c r="B45" s="53" t="s">
        <v>184</v>
      </c>
      <c r="D45" s="99">
        <f t="shared" si="5"/>
        <v>4</v>
      </c>
      <c r="E45" s="31" t="s">
        <v>165</v>
      </c>
      <c r="F45" s="6"/>
      <c r="G45" s="294"/>
    </row>
    <row r="46" spans="2:7" ht="15" customHeight="1" x14ac:dyDescent="0.3">
      <c r="B46" s="53" t="s">
        <v>185</v>
      </c>
      <c r="D46" s="99">
        <f t="shared" si="5"/>
        <v>0</v>
      </c>
      <c r="E46" s="31" t="s">
        <v>178</v>
      </c>
      <c r="F46" s="6"/>
      <c r="G46" s="294"/>
    </row>
    <row r="47" spans="2:7" ht="15" customHeight="1" x14ac:dyDescent="0.3">
      <c r="B47" s="53" t="s">
        <v>186</v>
      </c>
      <c r="D47" s="99">
        <f t="shared" si="5"/>
        <v>0</v>
      </c>
      <c r="E47" s="31" t="s">
        <v>178</v>
      </c>
      <c r="F47" s="6"/>
      <c r="G47" s="294"/>
    </row>
    <row r="48" spans="2:7" ht="15" customHeight="1" x14ac:dyDescent="0.3">
      <c r="B48" s="53" t="s">
        <v>212</v>
      </c>
      <c r="D48" s="99">
        <f t="shared" si="5"/>
        <v>1</v>
      </c>
      <c r="E48" s="31" t="s">
        <v>163</v>
      </c>
      <c r="F48" s="6"/>
      <c r="G48" s="294"/>
    </row>
    <row r="49" spans="2:8" ht="15" customHeight="1" x14ac:dyDescent="0.3">
      <c r="B49" s="1" t="s">
        <v>187</v>
      </c>
      <c r="D49" s="102">
        <f>SUM(D50:D54)/(5*4)</f>
        <v>0.36564625850340138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 x14ac:dyDescent="0.3">
      <c r="B50" s="53" t="s">
        <v>188</v>
      </c>
      <c r="D50" s="99">
        <f t="shared" ref="D50:D52" si="6">IF(E50="Strongly disagree",0,IF(E50="disagree",1,IF(E50="unclear",2,IF(E50="agree",3,4))))</f>
        <v>0</v>
      </c>
      <c r="E50" s="31" t="s">
        <v>178</v>
      </c>
      <c r="G50" s="294"/>
    </row>
    <row r="51" spans="2:8" ht="15" customHeight="1" x14ac:dyDescent="0.3">
      <c r="B51" s="53" t="s">
        <v>189</v>
      </c>
      <c r="D51" s="99">
        <f t="shared" si="6"/>
        <v>0</v>
      </c>
      <c r="E51" s="31" t="s">
        <v>178</v>
      </c>
      <c r="F51" s="6"/>
      <c r="G51" s="294"/>
    </row>
    <row r="52" spans="2:8" ht="15" customHeight="1" x14ac:dyDescent="0.3">
      <c r="B52" s="53" t="s">
        <v>298</v>
      </c>
      <c r="D52" s="99">
        <f t="shared" si="6"/>
        <v>1</v>
      </c>
      <c r="E52" s="31" t="s">
        <v>163</v>
      </c>
      <c r="G52" s="294"/>
    </row>
    <row r="53" spans="2:8" ht="15" customHeight="1" x14ac:dyDescent="0.3">
      <c r="B53" s="53" t="s">
        <v>299</v>
      </c>
      <c r="D53" s="99">
        <f>IF(E53="Strongly disagree",0,IF(E53="disagree",1,IF(E53="unclear",2,IF(E53="agree",3,4))))</f>
        <v>4</v>
      </c>
      <c r="E53" s="31" t="s">
        <v>165</v>
      </c>
      <c r="F53" s="53"/>
      <c r="G53" s="294"/>
      <c r="H53" s="53"/>
    </row>
    <row r="54" spans="2:8" ht="15" customHeight="1" x14ac:dyDescent="0.3">
      <c r="B54" s="53" t="s">
        <v>300</v>
      </c>
      <c r="D54" s="103">
        <f t="array" ref="D54">(1-INDEX(B68:E77,MATCH(E54,B68:B77,0),4))*4</f>
        <v>2.3129251700680271</v>
      </c>
      <c r="E54" s="31" t="s">
        <v>321</v>
      </c>
      <c r="F54" s="53"/>
      <c r="G54" s="294"/>
      <c r="H54" s="53"/>
    </row>
    <row r="55" spans="2:8" ht="15" customHeight="1" x14ac:dyDescent="0.3">
      <c r="B55" s="1" t="s">
        <v>190</v>
      </c>
      <c r="D55" s="104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 x14ac:dyDescent="0.3">
      <c r="B56" s="53" t="s">
        <v>191</v>
      </c>
      <c r="D56" s="99">
        <f t="shared" ref="D56:D60" si="7">IF(E56="Strongly disagree",0,IF(E56="disagree",1,IF(E56="unclear",2,IF(E56="agree",3,4))))</f>
        <v>3</v>
      </c>
      <c r="E56" s="31" t="s">
        <v>156</v>
      </c>
      <c r="F56" s="53"/>
      <c r="G56" s="294"/>
      <c r="H56" s="53"/>
    </row>
    <row r="57" spans="2:8" ht="15" customHeight="1" x14ac:dyDescent="0.3">
      <c r="B57" s="53" t="s">
        <v>192</v>
      </c>
      <c r="D57" s="99">
        <f t="shared" si="7"/>
        <v>2</v>
      </c>
      <c r="E57" s="31" t="s">
        <v>155</v>
      </c>
      <c r="F57" s="53"/>
      <c r="G57" s="294"/>
      <c r="H57" s="53"/>
    </row>
    <row r="58" spans="2:8" ht="15" customHeight="1" x14ac:dyDescent="0.3">
      <c r="B58" s="53" t="s">
        <v>213</v>
      </c>
      <c r="D58" s="99">
        <f t="shared" si="7"/>
        <v>2</v>
      </c>
      <c r="E58" s="31" t="s">
        <v>155</v>
      </c>
      <c r="F58" s="53"/>
      <c r="G58" s="294"/>
      <c r="H58" s="53"/>
    </row>
    <row r="59" spans="2:8" ht="15" customHeight="1" x14ac:dyDescent="0.3">
      <c r="B59" s="53" t="s">
        <v>214</v>
      </c>
      <c r="D59" s="99">
        <f t="shared" si="7"/>
        <v>4</v>
      </c>
      <c r="E59" s="31" t="s">
        <v>165</v>
      </c>
      <c r="F59" s="53"/>
      <c r="G59" s="294"/>
      <c r="H59" s="53"/>
    </row>
    <row r="60" spans="2:8" ht="15" customHeight="1" x14ac:dyDescent="0.3">
      <c r="B60" s="53" t="s">
        <v>215</v>
      </c>
      <c r="D60" s="99">
        <f t="shared" si="7"/>
        <v>4</v>
      </c>
      <c r="E60" s="31" t="s">
        <v>165</v>
      </c>
      <c r="F60" s="53"/>
      <c r="G60" s="294"/>
      <c r="H60" s="53"/>
    </row>
    <row r="61" spans="2:8" ht="15" customHeight="1" x14ac:dyDescent="0.3">
      <c r="B61" s="53" t="s">
        <v>216</v>
      </c>
      <c r="D61" s="99">
        <f>IF(E61="Strongly disagree",0,IF(E61="disagree",1,IF(E61="non-perishable",2,IF(E61="agree",3,4))))</f>
        <v>2</v>
      </c>
      <c r="E61" s="31" t="s">
        <v>277</v>
      </c>
      <c r="F61" s="53"/>
      <c r="G61" s="294"/>
      <c r="H61" s="53"/>
    </row>
    <row r="62" spans="2:8" ht="15" customHeight="1" x14ac:dyDescent="0.3">
      <c r="B62" s="145" t="s">
        <v>193</v>
      </c>
      <c r="D62" s="125">
        <f>1-AVERAGE(D30,D36,D42,D49,D55)</f>
        <v>0.61520408163265305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6" t="s">
        <v>194</v>
      </c>
      <c r="D64" s="93">
        <f>E64*4</f>
        <v>2.4152040816326528</v>
      </c>
      <c r="E64" s="124">
        <f>AVERAGE(AVERAGE(D12:D16)/4,AVERAGE(D18:D22)/4,AVERAGE(D24:D28)/4,D62)</f>
        <v>0.60380102040816319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5" t="s">
        <v>196</v>
      </c>
      <c r="C67" s="106"/>
      <c r="D67" s="106"/>
      <c r="E67" s="107"/>
    </row>
    <row r="68" spans="2:7" ht="15" customHeight="1" x14ac:dyDescent="0.3">
      <c r="B68" s="108" t="s">
        <v>197</v>
      </c>
      <c r="C68" s="106"/>
      <c r="D68" s="106">
        <v>1</v>
      </c>
      <c r="E68" s="109">
        <f t="shared" ref="E68:E76" si="8">D68/MAX($D$68:$D$77)</f>
        <v>3.4013605442176874E-2</v>
      </c>
    </row>
    <row r="69" spans="2:7" ht="15" customHeight="1" x14ac:dyDescent="0.3">
      <c r="B69" s="108" t="str">
        <f t="shared" ref="B69:B77" si="9">C69&amp;", "&amp;D69&amp;"y"</f>
        <v>Information Technology Like, 6.6y</v>
      </c>
      <c r="C69" s="106" t="s">
        <v>198</v>
      </c>
      <c r="D69" s="106">
        <v>6.6</v>
      </c>
      <c r="E69" s="109">
        <f t="shared" si="8"/>
        <v>0.22448979591836735</v>
      </c>
    </row>
    <row r="70" spans="2:7" ht="15" customHeight="1" x14ac:dyDescent="0.3">
      <c r="B70" s="108" t="str">
        <f t="shared" si="9"/>
        <v>Healthcare, 11.4y</v>
      </c>
      <c r="C70" s="106" t="s">
        <v>199</v>
      </c>
      <c r="D70" s="106">
        <v>11.4</v>
      </c>
      <c r="E70" s="109">
        <f t="shared" si="8"/>
        <v>0.38775510204081637</v>
      </c>
    </row>
    <row r="71" spans="2:7" ht="15" customHeight="1" x14ac:dyDescent="0.3">
      <c r="B71" s="108" t="str">
        <f t="shared" si="9"/>
        <v>Consumer Discretionary, 12.4y</v>
      </c>
      <c r="C71" s="106" t="s">
        <v>200</v>
      </c>
      <c r="D71" s="106">
        <v>12.4</v>
      </c>
      <c r="E71" s="109">
        <f t="shared" si="8"/>
        <v>0.42176870748299322</v>
      </c>
    </row>
    <row r="72" spans="2:7" ht="15" customHeight="1" x14ac:dyDescent="0.3">
      <c r="B72" s="108" t="str">
        <f t="shared" si="9"/>
        <v>Consumer Staples, 15.1y</v>
      </c>
      <c r="C72" s="106" t="s">
        <v>201</v>
      </c>
      <c r="D72" s="106">
        <v>15.1</v>
      </c>
      <c r="E72" s="109">
        <f t="shared" si="8"/>
        <v>0.51360544217687076</v>
      </c>
    </row>
    <row r="73" spans="2:7" ht="15" customHeight="1" x14ac:dyDescent="0.3">
      <c r="B73" s="108" t="str">
        <f t="shared" si="9"/>
        <v>Industrials, 15.4y</v>
      </c>
      <c r="C73" s="106" t="s">
        <v>202</v>
      </c>
      <c r="D73" s="106">
        <v>15.4</v>
      </c>
      <c r="E73" s="109">
        <f t="shared" si="8"/>
        <v>0.52380952380952384</v>
      </c>
    </row>
    <row r="74" spans="2:7" ht="15" customHeight="1" x14ac:dyDescent="0.3">
      <c r="B74" s="108" t="str">
        <f t="shared" si="9"/>
        <v>Telecommunication Services, 16.1y</v>
      </c>
      <c r="C74" s="106" t="s">
        <v>203</v>
      </c>
      <c r="D74" s="106">
        <v>16.100000000000001</v>
      </c>
      <c r="E74" s="109">
        <f t="shared" si="8"/>
        <v>0.54761904761904767</v>
      </c>
    </row>
    <row r="75" spans="2:7" ht="15" customHeight="1" x14ac:dyDescent="0.3">
      <c r="B75" s="108" t="str">
        <f t="shared" si="9"/>
        <v>Energy, 17.6y</v>
      </c>
      <c r="C75" s="106" t="s">
        <v>204</v>
      </c>
      <c r="D75" s="106">
        <v>17.600000000000001</v>
      </c>
      <c r="E75" s="109">
        <f t="shared" si="8"/>
        <v>0.59863945578231303</v>
      </c>
    </row>
    <row r="76" spans="2:7" ht="15" customHeight="1" x14ac:dyDescent="0.3">
      <c r="B76" s="108" t="str">
        <f t="shared" si="9"/>
        <v>Materials, 18.6y</v>
      </c>
      <c r="C76" s="106" t="s">
        <v>205</v>
      </c>
      <c r="D76" s="106">
        <v>18.600000000000001</v>
      </c>
      <c r="E76" s="109">
        <f t="shared" si="8"/>
        <v>0.63265306122448983</v>
      </c>
    </row>
    <row r="77" spans="2:7" ht="15" customHeight="1" x14ac:dyDescent="0.3">
      <c r="B77" s="110" t="str">
        <f t="shared" si="9"/>
        <v>Utilities, 29.4y</v>
      </c>
      <c r="C77" s="111" t="s">
        <v>206</v>
      </c>
      <c r="D77" s="111">
        <v>29.4</v>
      </c>
      <c r="E77" s="112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2023-03-24T01:56:15Z</dcterms:modified>
  <cp:category/>
  <cp:contentStatus/>
</cp:coreProperties>
</file>