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9A51E85-83FA-4283-8886-DD7C424E134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0" i="1"/>
  <c r="I36" i="1"/>
  <c r="E26" i="1"/>
  <c r="E7" i="3"/>
  <c r="C36" i="1"/>
  <c r="C35" i="1"/>
  <c r="B18" i="1" s="1"/>
  <c r="E6" i="1"/>
  <c r="D11" i="4"/>
  <c r="C11" i="4"/>
  <c r="F42" i="1" l="1"/>
  <c r="E42" i="1" s="1"/>
  <c r="F48" i="1" s="1"/>
  <c r="G17" i="7"/>
  <c r="E17" i="7"/>
  <c r="E13" i="7"/>
  <c r="G10" i="7"/>
  <c r="E10" i="7"/>
  <c r="C9" i="7"/>
  <c r="G8" i="7"/>
  <c r="E8" i="7"/>
  <c r="G7" i="7"/>
  <c r="E7" i="7"/>
  <c r="C6" i="7"/>
  <c r="C11" i="7" s="1"/>
  <c r="G5" i="7"/>
  <c r="E5" i="7"/>
  <c r="G4" i="7"/>
  <c r="E4" i="7"/>
  <c r="E6" i="7" s="1"/>
  <c r="E9" i="7" l="1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F46" i="1" s="1"/>
  <c r="C32" i="4"/>
  <c r="H14" i="1" s="1"/>
  <c r="J25" i="1" s="1"/>
  <c r="D29" i="4"/>
  <c r="F49" i="1" l="1"/>
  <c r="E50" i="1" s="1"/>
  <c r="F50" i="1" s="1"/>
  <c r="E49" i="1"/>
  <c r="F32" i="4"/>
  <c r="D16" i="1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<sst xmlns="http://schemas.openxmlformats.org/spreadsheetml/2006/main" count="413" uniqueCount="348">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</sst>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5" t="s">
        <v>309</v>
      </c>
      <c r="D3" s="396"/>
      <c r="E3" s="15"/>
      <c r="G3" s="7" t="s">
        <v>2</v>
      </c>
      <c r="I3" s="407" t="s">
        <v>3</v>
      </c>
      <c r="J3" s="408"/>
    </row>
    <row r="4" spans="1:12" ht="15.75" customHeight="1" x14ac:dyDescent="0.3">
      <c r="B4" s="5" t="s">
        <v>4</v>
      </c>
      <c r="C4" s="397" t="s">
        <v>310</v>
      </c>
      <c r="D4" s="398"/>
      <c r="E4" s="6"/>
      <c r="G4" s="5" t="s">
        <v>5</v>
      </c>
      <c r="I4" s="32">
        <v>20.100000000000001</v>
      </c>
      <c r="J4" s="33" t="s">
        <v>6</v>
      </c>
      <c r="K4" s="152"/>
    </row>
    <row r="5" spans="1:12" ht="15.75" customHeight="1" x14ac:dyDescent="0.3">
      <c r="B5" s="5" t="s">
        <v>7</v>
      </c>
      <c r="C5" s="399">
        <v>44956</v>
      </c>
      <c r="D5" s="398"/>
      <c r="E5" s="122" t="str">
        <f ca="1">IF(C5+30&gt;=TODAY(),"Patience Premium","")</f>
        <v/>
      </c>
      <c r="G5" s="5" t="s">
        <v>8</v>
      </c>
      <c r="I5" s="390">
        <v>1451309952</v>
      </c>
      <c r="J5" s="391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409">
        <f>I4*I5/1000000</f>
        <v>29171.330035200001</v>
      </c>
      <c r="J6" s="410"/>
      <c r="K6" s="151"/>
    </row>
    <row r="7" spans="1:12" ht="15.75" customHeight="1" x14ac:dyDescent="0.3">
      <c r="B7" s="139" t="s">
        <v>10</v>
      </c>
      <c r="C7" s="145">
        <f>(Data!C39)/I4</f>
        <v>0.18224160480804596</v>
      </c>
      <c r="D7" s="145">
        <f>(Data!C40)/I4</f>
        <v>1.3847843053866789E-3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2.8163061455717711</v>
      </c>
      <c r="J9" s="48">
        <f>IF(I9="NNI","NNI",1/I9)</f>
        <v>0.355075033860347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0.22047192834972398</v>
      </c>
      <c r="J10" s="130">
        <f>IF(Asset_Model!D60/'FCFF Model'!C4&lt;0,"Negative EV",Asset_Model!D60/'FCFF Model'!C4)</f>
        <v>0.50480257615216473</v>
      </c>
    </row>
    <row r="11" spans="1:12" ht="15.75" customHeight="1" thickBot="1" x14ac:dyDescent="0.35">
      <c r="B11" s="311" t="s">
        <v>278</v>
      </c>
      <c r="C11" s="421">
        <f ca="1">C12-D10</f>
        <v>5.1000000000000004E-2</v>
      </c>
      <c r="D11" s="422"/>
      <c r="E11" s="13"/>
      <c r="G11" s="5" t="s">
        <v>15</v>
      </c>
      <c r="H11" s="6"/>
      <c r="I11" s="419" t="s">
        <v>6</v>
      </c>
      <c r="J11" s="420"/>
    </row>
    <row r="12" spans="1:12" ht="15.75" customHeight="1" thickTop="1" x14ac:dyDescent="0.3">
      <c r="B12" s="312" t="s">
        <v>150</v>
      </c>
      <c r="C12" s="423">
        <f ca="1">IF(C10="CN",8%,6%)*IF($C$5+30&gt;=TODAY(),1.2,1)</f>
        <v>0.08</v>
      </c>
      <c r="D12" s="424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20.100000000000001</v>
      </c>
      <c r="C16" s="430">
        <v>0.1</v>
      </c>
      <c r="D16" s="159">
        <f ca="1">H14/B16-1-C16</f>
        <v>-0.17325037787539635</v>
      </c>
      <c r="E16" s="427">
        <f>'FCFF Model'!D11*Exchange_Rate</f>
        <v>1.35</v>
      </c>
      <c r="F16" s="161">
        <f>E16/B16</f>
        <v>6.7164179104477612E-2</v>
      </c>
      <c r="G16" s="414" t="s">
        <v>25</v>
      </c>
      <c r="H16" s="411">
        <f>('FCFF Model'!G19)*Exchange_Rate</f>
        <v>5.9489088537580672</v>
      </c>
      <c r="I16" s="414" t="s">
        <v>26</v>
      </c>
      <c r="J16" s="206">
        <f>B16-$H$16</f>
        <v>14.151091146241935</v>
      </c>
    </row>
    <row r="17" spans="1:10" ht="15.75" customHeight="1" x14ac:dyDescent="0.3">
      <c r="B17" s="290">
        <f ca="1">H14/(1+C16)</f>
        <v>16.934243095185941</v>
      </c>
      <c r="C17" s="431"/>
      <c r="D17" s="289">
        <f ca="1">H14/B17-1-C16</f>
        <v>0</v>
      </c>
      <c r="E17" s="428"/>
      <c r="F17" s="162">
        <f ca="1">E16/B17</f>
        <v>7.9720126397841623E-2</v>
      </c>
      <c r="G17" s="415"/>
      <c r="H17" s="412"/>
      <c r="I17" s="415"/>
      <c r="J17" s="205">
        <f ca="1">B17-$H$16</f>
        <v>10.985334241427875</v>
      </c>
    </row>
    <row r="18" spans="1:10" ht="15.75" customHeight="1" x14ac:dyDescent="0.3">
      <c r="B18" s="350">
        <f>C35</f>
        <v>16.5</v>
      </c>
      <c r="C18" s="432"/>
      <c r="D18" s="160">
        <f ca="1">H14/B18-1-C16</f>
        <v>2.8949539679062747E-2</v>
      </c>
      <c r="E18" s="429"/>
      <c r="F18" s="163">
        <f>E16/B18</f>
        <v>8.1818181818181818E-2</v>
      </c>
      <c r="G18" s="416"/>
      <c r="H18" s="413"/>
      <c r="I18" s="416"/>
      <c r="J18" s="207">
        <f>B18-$H$16</f>
        <v>10.551091146241934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2" t="s">
        <v>311</v>
      </c>
      <c r="D21" s="403"/>
      <c r="E21" s="403"/>
      <c r="F21" s="403"/>
      <c r="G21" s="403"/>
      <c r="H21" s="403"/>
      <c r="I21" s="403"/>
      <c r="J21" s="404"/>
    </row>
    <row r="22" spans="1:10" ht="52.5" customHeight="1" x14ac:dyDescent="0.3">
      <c r="A22" s="6"/>
      <c r="B22" s="24" t="s">
        <v>29</v>
      </c>
      <c r="C22" s="418" t="s">
        <v>313</v>
      </c>
      <c r="D22" s="366"/>
      <c r="E22" s="366"/>
      <c r="F22" s="366"/>
      <c r="G22" s="418" t="s">
        <v>315</v>
      </c>
      <c r="H22" s="418"/>
      <c r="I22" s="366"/>
      <c r="J22" s="366"/>
    </row>
    <row r="23" spans="1:10" ht="52.5" customHeight="1" x14ac:dyDescent="0.3">
      <c r="A23" s="6"/>
      <c r="B23" s="25" t="s">
        <v>30</v>
      </c>
      <c r="C23" s="405" t="s">
        <v>314</v>
      </c>
      <c r="D23" s="406"/>
      <c r="E23" s="406"/>
      <c r="F23" s="406"/>
      <c r="G23" s="405" t="s">
        <v>316</v>
      </c>
      <c r="H23" s="405"/>
      <c r="I23" s="406"/>
      <c r="J23" s="40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400"/>
      <c r="D26" s="401"/>
      <c r="E26" s="436" t="str">
        <f>IF(C26="","","Action_Planning")</f>
        <v/>
      </c>
      <c r="F26" s="437"/>
      <c r="G26" s="437"/>
      <c r="H26" s="438"/>
      <c r="I26" s="417" t="s">
        <v>34</v>
      </c>
      <c r="J26" s="417"/>
    </row>
    <row r="27" spans="1:10" ht="15.75" customHeight="1" x14ac:dyDescent="0.3">
      <c r="B27" s="23" t="s">
        <v>35</v>
      </c>
      <c r="C27" s="426">
        <f>C31/D25</f>
        <v>0.11</v>
      </c>
      <c r="D27" s="389"/>
      <c r="E27" s="425">
        <f>E31/D25</f>
        <v>0</v>
      </c>
      <c r="F27" s="389"/>
      <c r="G27" s="434">
        <f>G31/D25</f>
        <v>0</v>
      </c>
      <c r="H27" s="435"/>
      <c r="I27" s="433">
        <f>C27+E27+G27</f>
        <v>0.11</v>
      </c>
      <c r="J27" s="433"/>
    </row>
    <row r="28" spans="1:10" ht="15.75" customHeight="1" x14ac:dyDescent="0.3">
      <c r="B28" s="23" t="s">
        <v>36</v>
      </c>
      <c r="C28" s="361">
        <v>4000</v>
      </c>
      <c r="D28" s="366"/>
      <c r="E28" s="361"/>
      <c r="F28" s="366"/>
      <c r="G28" s="390"/>
      <c r="H28" s="391"/>
      <c r="I28" s="394">
        <f>C28+E28+G28</f>
        <v>4000</v>
      </c>
      <c r="J28" s="394"/>
    </row>
    <row r="29" spans="1:10" ht="15.75" customHeight="1" x14ac:dyDescent="0.3">
      <c r="B29" s="23" t="s">
        <v>37</v>
      </c>
      <c r="C29" s="365">
        <v>16.5</v>
      </c>
      <c r="D29" s="366"/>
      <c r="E29" s="365"/>
      <c r="F29" s="366"/>
      <c r="G29" s="367"/>
      <c r="H29" s="368"/>
      <c r="I29" s="392"/>
      <c r="J29" s="392"/>
    </row>
    <row r="30" spans="1:10" ht="15.75" customHeight="1" x14ac:dyDescent="0.3">
      <c r="B30" s="23" t="s">
        <v>38</v>
      </c>
      <c r="C30" s="363">
        <f>C29*$I$5/1000000</f>
        <v>23946.614207999999</v>
      </c>
      <c r="D30" s="373"/>
      <c r="E30" s="363">
        <f>E29*$I$5/1000000</f>
        <v>0</v>
      </c>
      <c r="F30" s="373"/>
      <c r="G30" s="376">
        <f>G29*$I$5/1000000</f>
        <v>0</v>
      </c>
      <c r="H30" s="377"/>
      <c r="I30" s="393"/>
      <c r="J30" s="393"/>
    </row>
    <row r="31" spans="1:10" ht="15.75" customHeight="1" x14ac:dyDescent="0.3">
      <c r="B31" s="2" t="s">
        <v>39</v>
      </c>
      <c r="C31" s="385">
        <f>C28*C29</f>
        <v>66000</v>
      </c>
      <c r="D31" s="386"/>
      <c r="E31" s="387">
        <f>E28*E29</f>
        <v>0</v>
      </c>
      <c r="F31" s="388"/>
      <c r="G31" s="378">
        <f>G28*G29</f>
        <v>0</v>
      </c>
      <c r="H31" s="379"/>
      <c r="I31" s="387">
        <f>C31+E31+G31</f>
        <v>66000</v>
      </c>
      <c r="J31" s="387"/>
    </row>
    <row r="32" spans="1:10" ht="15.75" customHeight="1" x14ac:dyDescent="0.3">
      <c r="B32" s="1" t="s">
        <v>40</v>
      </c>
      <c r="C32" s="383"/>
      <c r="D32" s="384"/>
      <c r="E32" s="364">
        <f>IF(C31=0,"-",(C31+E31)/(C28+E28))</f>
        <v>16.5</v>
      </c>
      <c r="F32" s="389"/>
      <c r="G32" s="117"/>
      <c r="H32" s="117"/>
      <c r="I32" s="364">
        <f>IF(I31=0,"",I31/I28)</f>
        <v>16.5</v>
      </c>
      <c r="J32" s="364"/>
    </row>
    <row r="33" spans="2:10" ht="15.75" customHeight="1" x14ac:dyDescent="0.3">
      <c r="B33" s="1" t="s">
        <v>41</v>
      </c>
      <c r="C33" s="374"/>
      <c r="D33" s="375"/>
      <c r="E33" s="363">
        <f>IF(E32="-","-",E32*$I$5/1000000)</f>
        <v>23946.614207999999</v>
      </c>
      <c r="F33" s="373"/>
      <c r="G33" s="118"/>
      <c r="H33" s="118"/>
      <c r="I33" s="363">
        <f>IF(I32="","",I32*$I$5/1000000)</f>
        <v>23946.614207999999</v>
      </c>
      <c r="J33" s="363"/>
    </row>
    <row r="34" spans="2:10" ht="15.75" customHeight="1" x14ac:dyDescent="0.3"/>
    <row r="35" spans="2:10" ht="15.75" customHeight="1" x14ac:dyDescent="0.3">
      <c r="B35" s="146" t="s">
        <v>325</v>
      </c>
      <c r="C35" s="369">
        <f>C29</f>
        <v>16.5</v>
      </c>
      <c r="D35" s="370"/>
      <c r="G35" s="371" t="s">
        <v>326</v>
      </c>
      <c r="H35" s="372"/>
      <c r="I35" s="369">
        <v>19</v>
      </c>
      <c r="J35" s="370"/>
    </row>
    <row r="36" spans="2:10" ht="15.75" customHeight="1" x14ac:dyDescent="0.3">
      <c r="B36" s="146" t="s">
        <v>327</v>
      </c>
      <c r="C36" s="361">
        <f>C28</f>
        <v>4000</v>
      </c>
      <c r="D36" s="362"/>
      <c r="G36" s="380" t="s">
        <v>333</v>
      </c>
      <c r="H36" s="380"/>
      <c r="I36" s="381">
        <f>IF(C26="",0,I35/C29-1)</f>
        <v>0</v>
      </c>
      <c r="J36" s="382"/>
    </row>
    <row r="37" spans="2:10" ht="15.75" customHeight="1" x14ac:dyDescent="0.3"/>
    <row r="38" spans="2:10" ht="15.75" customHeight="1" x14ac:dyDescent="0.3">
      <c r="B38" s="21" t="s">
        <v>334</v>
      </c>
      <c r="G38" s="344" t="s">
        <v>141</v>
      </c>
      <c r="H38" s="133"/>
      <c r="I38" s="133"/>
      <c r="J38" s="133"/>
    </row>
    <row r="39" spans="2:10" ht="15.75" customHeight="1" x14ac:dyDescent="0.3">
      <c r="B39" s="3" t="s">
        <v>335</v>
      </c>
      <c r="F39" s="214">
        <f>'Qualitative Analysis'!E8</f>
        <v>0.51</v>
      </c>
      <c r="G39" s="353"/>
      <c r="H39" s="116"/>
      <c r="I39" s="116"/>
      <c r="J39" s="116"/>
    </row>
    <row r="40" spans="2:10" ht="15.75" customHeight="1" x14ac:dyDescent="0.3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337</v>
      </c>
      <c r="E41" s="354"/>
      <c r="F41" s="355">
        <f>'Qualitative Analysis'!E64</f>
        <v>0.61182823129251696</v>
      </c>
      <c r="G41" s="353" t="s">
        <v>338</v>
      </c>
      <c r="H41" s="116"/>
      <c r="I41" s="116"/>
      <c r="J41" s="116"/>
    </row>
    <row r="42" spans="2:10" ht="15.75" customHeight="1" x14ac:dyDescent="0.3">
      <c r="B42" s="3" t="s">
        <v>346</v>
      </c>
      <c r="E42" s="354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339</v>
      </c>
      <c r="H42" s="74"/>
      <c r="I42" s="74"/>
      <c r="J42" s="74"/>
    </row>
    <row r="43" spans="2:10" ht="15.75" customHeight="1" x14ac:dyDescent="0.3">
      <c r="B43" s="3" t="s">
        <v>347</v>
      </c>
      <c r="F43" s="356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340</v>
      </c>
      <c r="F45" s="355">
        <f>I35/C29-1</f>
        <v>0.1515151515151516</v>
      </c>
    </row>
    <row r="46" spans="2:10" ht="15.75" customHeight="1" x14ac:dyDescent="0.3">
      <c r="B46" s="3" t="s">
        <v>341</v>
      </c>
      <c r="F46" s="355">
        <f ca="1">D14/C29-1</f>
        <v>-8.0124716827391085E-2</v>
      </c>
    </row>
    <row r="47" spans="2:10" ht="15.75" customHeight="1" x14ac:dyDescent="0.3"/>
    <row r="48" spans="2:10" ht="15.75" customHeight="1" x14ac:dyDescent="0.3">
      <c r="B48" s="3" t="s">
        <v>342</v>
      </c>
      <c r="F48" s="214">
        <f>IF(F45&lt;=0,0,AVERAGE(F39:F41,1-F43,E42))</f>
        <v>0.56436564625850338</v>
      </c>
      <c r="G48" s="74"/>
    </row>
    <row r="49" spans="2:8" ht="15.75" customHeight="1" x14ac:dyDescent="0.3">
      <c r="B49" s="3" t="s">
        <v>343</v>
      </c>
      <c r="E49" s="357">
        <f ca="1">F45/ABS(F46)</f>
        <v>1.8909914133182346</v>
      </c>
      <c r="F49" s="358">
        <f ca="1">IF(F46&gt;=0,100,F45/ABS(F46))</f>
        <v>1.8909914133182346</v>
      </c>
      <c r="G49" s="74"/>
    </row>
    <row r="50" spans="2:8" ht="15.75" customHeight="1" x14ac:dyDescent="0.3">
      <c r="B50" s="3" t="s">
        <v>344</v>
      </c>
      <c r="E50" s="107">
        <f ca="1">MAX(F48-ABS((1-F48)/F49),0)/2</f>
        <v>0.16699606165764269</v>
      </c>
      <c r="F50" s="359">
        <f ca="1">MIN(E50,H50)</f>
        <v>0.16699606165764269</v>
      </c>
      <c r="G50" s="360" t="s">
        <v>345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9" priority="15" operator="lessThan">
      <formula>0</formula>
    </cfRule>
  </conditionalFormatting>
  <conditionalFormatting sqref="E26:H26">
    <cfRule type="containsBlanks" dxfId="18" priority="3">
      <formula>LEN(TRIM(E26))=0</formula>
    </cfRule>
  </conditionalFormatting>
  <conditionalFormatting sqref="F49">
    <cfRule type="cellIs" dxfId="17" priority="1" operator="lessThan">
      <formula>1</formula>
    </cfRule>
  </conditionalFormatting>
  <conditionalFormatting sqref="H14">
    <cfRule type="cellIs" dxfId="16" priority="7" operator="greaterThan">
      <formula>$B$16</formula>
    </cfRule>
  </conditionalFormatting>
  <conditionalFormatting sqref="H16">
    <cfRule type="cellIs" dxfId="15" priority="10" operator="greaterThan">
      <formula>$B$16</formula>
    </cfRule>
  </conditionalFormatting>
  <conditionalFormatting sqref="I16">
    <cfRule type="cellIs" dxfId="14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F10" sqref="F1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9">
        <f>D53+D54+D55</f>
        <v>6103303.7770000007</v>
      </c>
      <c r="E52" s="440"/>
      <c r="F52" s="53"/>
      <c r="G52" s="53"/>
    </row>
    <row r="53" spans="2:9" ht="14.5" thickTop="1" x14ac:dyDescent="0.3">
      <c r="B53" s="58" t="s">
        <v>236</v>
      </c>
      <c r="C53" s="6"/>
      <c r="D53" s="442">
        <f>SUM(I11:I13)+SUM(I28:I30)</f>
        <v>6103303.7770000007</v>
      </c>
      <c r="E53" s="386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47">
        <v>0</v>
      </c>
      <c r="E54" s="366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7">
        <v>0</v>
      </c>
      <c r="E55" s="366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1"/>
      <c r="E57" s="441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45">
        <f>((Dashboard!I6*Data!C4)+D52+E50-C58-C59)</f>
        <v>2551649.8122000024</v>
      </c>
      <c r="E60" s="44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381">
        <f>((C26-C11-C12-C14-C15-C16*G16-C19*G19-C20*G20)-I26)/Data!C7</f>
        <v>1.3669532590180158</v>
      </c>
      <c r="E63" s="382"/>
    </row>
    <row r="64" spans="2:9" ht="15" customHeight="1" x14ac:dyDescent="0.3">
      <c r="B64" s="3" t="s">
        <v>267</v>
      </c>
      <c r="D64" s="443">
        <v>6.9000000000000006E-2</v>
      </c>
      <c r="E64" s="444"/>
      <c r="F64" s="266" t="s">
        <v>252</v>
      </c>
    </row>
    <row r="65" spans="2:5" ht="15" customHeight="1" x14ac:dyDescent="0.3">
      <c r="B65" s="292" t="s">
        <v>269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2" priority="10">
      <formula>LEN(TRIM(J12))=0</formula>
    </cfRule>
    <cfRule type="containsBlanks" priority="11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50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50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3" t="s">
        <v>231</v>
      </c>
      <c r="F23" s="453"/>
      <c r="G23" s="453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51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52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8" t="s">
        <v>153</v>
      </c>
      <c r="D31" s="449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2023-03-24T01:56:17Z</dcterms:modified>
  <cp:category/>
  <cp:contentStatus/>
</cp:coreProperties>
</file>