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1E2C3EBC-D6A8-426B-9C17-D55DD73BCB08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5" i="1"/>
  <c r="F43" i="1"/>
  <c r="F42" i="1"/>
  <c r="E42" i="1" s="1"/>
  <c r="F40" i="1"/>
  <c r="I36" i="1"/>
  <c r="E26" i="1"/>
  <c r="C35" i="1"/>
  <c r="E7" i="3"/>
  <c r="C36" i="1"/>
  <c r="B18" i="1"/>
  <c r="E6" i="1"/>
  <c r="C12" i="1"/>
  <c r="D11" i="4"/>
  <c r="C11" i="4"/>
  <c r="F48" i="1" l="1"/>
  <c r="C13" i="7"/>
  <c r="C7" i="7"/>
  <c r="D5" i="7" s="1"/>
  <c r="E7" i="7" l="1"/>
  <c r="D65" i="3"/>
  <c r="C36" i="3"/>
  <c r="E16" i="1" l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D12" i="4"/>
  <c r="D6" i="7"/>
  <c r="G34" i="4"/>
  <c r="D4" i="7" l="1"/>
  <c r="D20" i="2"/>
  <c r="E20" i="2"/>
  <c r="F20" i="2"/>
  <c r="G20" i="2"/>
  <c r="H20" i="2"/>
  <c r="I20" i="2"/>
  <c r="J20" i="2"/>
  <c r="K20" i="2"/>
  <c r="L20" i="2"/>
  <c r="M20" i="2"/>
  <c r="C20" i="2"/>
  <c r="E13" i="7" l="1"/>
  <c r="G16" i="3"/>
  <c r="I9" i="7" l="1"/>
  <c r="I11" i="7" s="1"/>
  <c r="I16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4" i="7" l="1"/>
  <c r="I4" i="3" l="1"/>
  <c r="D4" i="3"/>
  <c r="D6" i="1"/>
  <c r="E9" i="3"/>
  <c r="C3" i="7" l="1"/>
  <c r="C29" i="4"/>
  <c r="C3" i="4" l="1"/>
  <c r="E3" i="7"/>
  <c r="C15" i="4"/>
  <c r="B3" i="4"/>
  <c r="C17" i="4" s="1"/>
  <c r="C9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10" i="7"/>
  <c r="C12" i="7"/>
  <c r="B3" i="7"/>
  <c r="C11" i="7"/>
  <c r="C16" i="7" s="1"/>
  <c r="C19" i="7" s="1"/>
  <c r="E8" i="7"/>
  <c r="C4" i="4" l="1"/>
  <c r="C7" i="4" s="1"/>
  <c r="C8" i="4" s="1"/>
  <c r="C9" i="4" s="1"/>
  <c r="C10" i="4" s="1"/>
  <c r="C18" i="7"/>
  <c r="E10" i="7"/>
  <c r="I32" i="3"/>
  <c r="C14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9" i="7" l="1"/>
  <c r="E11" i="7" s="1"/>
  <c r="E16" i="7" s="1"/>
  <c r="E17" i="7" s="1"/>
  <c r="E19" i="7" s="1"/>
  <c r="E18" i="7" s="1"/>
  <c r="G9" i="7"/>
  <c r="D52" i="3"/>
  <c r="C20" i="4" s="1"/>
  <c r="D20" i="4" s="1"/>
  <c r="I53" i="3"/>
  <c r="C7" i="1"/>
  <c r="C44" i="3"/>
  <c r="C25" i="3"/>
  <c r="I7" i="3" s="1"/>
  <c r="E15" i="7" l="1"/>
  <c r="G11" i="7"/>
  <c r="G16" i="7" s="1"/>
  <c r="G14" i="7" s="1"/>
  <c r="D4" i="4"/>
  <c r="E14" i="7"/>
  <c r="C45" i="3"/>
  <c r="E12" i="3"/>
  <c r="I15" i="7" l="1"/>
  <c r="I3" i="7" s="1"/>
  <c r="F3" i="4" s="1"/>
  <c r="G4" i="4" s="1"/>
  <c r="B24" i="4" s="1"/>
  <c r="G2" i="4" s="1"/>
  <c r="G15" i="7"/>
  <c r="G17" i="7"/>
  <c r="I17" i="7" s="1"/>
  <c r="I19" i="7" s="1"/>
  <c r="D7" i="4"/>
  <c r="D8" i="4" s="1"/>
  <c r="D9" i="4" s="1"/>
  <c r="D10" i="4" s="1"/>
  <c r="D5" i="4"/>
  <c r="D53" i="5"/>
  <c r="G19" i="7" l="1"/>
  <c r="E4" i="4" s="1"/>
  <c r="F4" i="4"/>
  <c r="I18" i="7"/>
  <c r="E35" i="3"/>
  <c r="G18" i="7" l="1"/>
  <c r="F8" i="4"/>
  <c r="F9" i="4" s="1"/>
  <c r="F5" i="4"/>
  <c r="E8" i="4"/>
  <c r="E9" i="4" s="1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l="1"/>
  <c r="C34" i="4" s="1"/>
  <c r="E25" i="4"/>
  <c r="G25" i="4" s="1"/>
  <c r="E26" i="4"/>
  <c r="G26" i="4" s="1"/>
  <c r="E30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F14" i="1" s="1"/>
  <c r="D14" i="1" l="1"/>
  <c r="F46" i="1" s="1"/>
  <c r="C33" i="4"/>
  <c r="H14" i="1" s="1"/>
  <c r="J25" i="1" s="1"/>
  <c r="D30" i="4"/>
  <c r="F49" i="1" l="1"/>
  <c r="E50" i="1" s="1"/>
  <c r="F50" i="1" s="1"/>
  <c r="E49" i="1"/>
  <c r="D16" i="1"/>
  <c r="F33" i="4"/>
  <c r="B17" i="1"/>
  <c r="J17" i="1" s="1"/>
  <c r="D18" i="1"/>
  <c r="E33" i="4"/>
  <c r="D17" i="1" l="1"/>
  <c r="F17" i="1"/>
</calcChain>
</file>

<file path=xl/sharedStrings.xml><?xml version="1.0" encoding="utf-8"?>
<sst xmlns="http://schemas.openxmlformats.org/spreadsheetml/2006/main" count="408" uniqueCount="343">
  <si>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</si>
  <si>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</si>
  <si>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</si>
  <si>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</si>
  <si>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</si>
  <si>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</si>
  <si>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</si>
  <si>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</si>
  <si>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</si>
  <si>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</si>
  <si>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</si>
  <si>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</si>
  <si>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</si>
  <si>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</si>
  <si>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</si>
  <si>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</si>
  <si>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</si>
  <si>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</si>
  <si>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</si>
  <si>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</si>
  <si>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</si>
  <si>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</si>
  <si>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</si>
  <si>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</si>
  <si>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</si>
  <si>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</si>
  <si>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</si>
  <si>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</si>
  <si>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</si>
  <si>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</si>
  <si>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</si>
  <si>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</si>
  <si>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</si>
  <si>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</si>
  <si>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</si>
  <si>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</si>
  <si>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</si>
  <si>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</si>
  <si>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</si>
  <si>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</si>
  <si>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</si>
  <si>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</si>
  <si>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</si>
  <si>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</si>
  <si>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</si>
  <si>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</si>
  <si>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</si>
  <si>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</si>
  <si>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</si>
  <si>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</si>
  <si>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</si>
  <si>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</si>
  <si>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</si>
  <si>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</si>
  <si>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</si>
  <si>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</si>
  <si>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</si>
  <si>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</si>
  <si>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</si>
  <si>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</si>
  <si>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</si>
  <si>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</si>
  <si>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</si>
  <si>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</si>
  <si>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</si>
  <si>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</si>
  <si>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</si>
  <si>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</si>
  <si>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</si>
  <si>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</si>
  <si>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</si>
  <si>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</si>
  <si>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</si>
  <si>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</si>
  <si>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</si>
  <si>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</si>
  <si>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</si>
  <si>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</si>
  <si>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</si>
  <si>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</si>
  <si>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</si>
  <si>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</si>
  <si>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</si>
  <si>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</si>
  <si>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</si>
  <si>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</si>
  <si>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</si>
  <si>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</si>
  <si>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</si>
  <si>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</si>
  <si>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</si>
  <si>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</si>
  <si>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</si>
  <si>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</si>
  <si>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</si>
  <si>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</si>
  <si>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</si>
  <si>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</si>
  <si>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</si>
  <si>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</si>
  <si>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</si>
  <si>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</si>
  <si>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</si>
  <si>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</si>
  <si>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</si>
  <si>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</si>
  <si>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</si>
  <si>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</si>
  <si>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</si>
  <si>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</si>
  <si>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</si>
  <si>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</si>
  <si>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</si>
  <si>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</si>
  <si>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</si>
  <si>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</si>
  <si>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</si>
  <si>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</si>
  <si>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</si>
  <si>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</si>
  <si>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</si>
  <si>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</si>
  <si>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</si>
  <si>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</si>
  <si>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</si>
  <si>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</si>
  <si>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</si>
  <si>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</si>
  <si>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</si>
  <si>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</si>
  <si>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</si>
  <si>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</si>
  <si>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</si>
  <si>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</si>
  <si>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</si>
  <si>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</si>
  <si>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</si>
  <si>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</si>
  <si>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</si>
  <si>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</si>
  <si>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</si>
  <si>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</si>
  <si>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</si>
  <si>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</si>
  <si>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</si>
  <si>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</si>
  <si>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</si>
  <si>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</si>
  <si>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</si>
  <si>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</si>
  <si>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</si>
  <si>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</si>
  <si>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</si>
  <si>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</si>
  <si>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</si>
  <si>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</si>
  <si>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</si>
  <si>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</si>
  <si>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</si>
  <si>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</si>
  <si>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</si>
  <si>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</si>
  <si>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</si>
  <si>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</si>
  <si>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</si>
  <si>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</si>
  <si>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</si>
  <si>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</si>
  <si>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</si>
  <si>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</si>
  <si>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</si>
  <si>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</si>
  <si>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</si>
  <si>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</si>
  <si>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</si>
  <si>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</si>
  <si>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</si>
  <si>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</si>
  <si>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</si>
  <si>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</si>
  <si>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</si>
  <si>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</si>
  <si>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</si>
  <si>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</si>
  <si>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</si>
  <si>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</si>
  <si>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</si>
  <si>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</si>
  <si>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</si>
  <si>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</si>
  <si>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</si>
  <si>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</si>
  <si>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</si>
  <si>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</si>
  <si>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</si>
  <si>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</si>
  <si>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</si>
  <si>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</si>
  <si>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</si>
  <si>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</si>
  <si>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</si>
  <si>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</si>
  <si>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</si>
  <si>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</si>
  <si>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</si>
  <si>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</si>
  <si>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</si>
  <si>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</si>
  <si>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</si>
  <si>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</si>
  <si>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</si>
  <si>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</si>
  <si>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</si>
  <si>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</si>
  <si>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</si>
  <si>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</si>
  <si>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</si>
  <si>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</si>
  <si>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</si>
  <si>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</si>
  <si>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</si>
  <si>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</si>
  <si>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</si>
  <si>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</si>
  <si>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</si>
  <si>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</si>
  <si>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</si>
  <si>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</si>
  <si>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</si>
  <si>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</si>
  <si>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</si>
  <si>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</si>
  <si>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</si>
  <si>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</si>
  <si>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</si>
  <si>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</si>
  <si>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</si>
  <si>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</si>
  <si>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</si>
  <si>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</si>
  <si>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</si>
  <si>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</si>
  <si>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</si>
  <si>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</si>
  <si>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</si>
  <si>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</si>
  <si>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</si>
  <si>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</si>
  <si>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</si>
  <si>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</si>
  <si>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</si>
  <si>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</si>
  <si>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</si>
  <si>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</si>
  <si>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</si>
  <si>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</si>
  <si>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</si>
  <si>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</si>
  <si>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</si>
  <si>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</si>
  <si>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</si>
  <si>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</si>
  <si>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</si>
  <si>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</si>
  <si>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</si>
  <si>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</si>
  <si>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</si>
  <si>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</si>
  <si>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</si>
  <si>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</si>
  <si>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</si>
  <si>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</si>
  <si>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</si>
  <si>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</si>
  <si>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</si>
  <si>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</si>
  <si>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</si>
  <si>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</si>
  <si>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</si>
  <si>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</si>
  <si>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</si>
  <si>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</si>
  <si>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</si>
  <si>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</si>
  <si>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</si>
  <si>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</si>
  <si>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</si>
  <si>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</si>
  <si>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</si>
  <si>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</si>
  <si>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</si>
  <si>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</si>
  <si>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</si>
  <si>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</si>
  <si>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</si>
  <si>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</si>
  <si>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</si>
  <si>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</si>
  <si>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</si>
  <si>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</si>
  <si>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</si>
  <si>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</si>
  <si>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</si>
  <si>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</si>
  <si>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</si>
  <si>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</si>
  <si>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</si>
  <si>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0697.HK</t>
  </si>
  <si>
    <t>SHOUCHENG</t>
  </si>
  <si>
    <t>停車出行</t>
  </si>
  <si>
    <t>基金管理</t>
  </si>
  <si>
    <t>其他</t>
  </si>
  <si>
    <t>Very complicated</t>
  </si>
  <si>
    <t>relies on the parent 首控</t>
  </si>
  <si>
    <t>1. 背靠首控的强大关系</t>
  </si>
  <si>
    <t>Consumer Discretionary, 12.4y</t>
  </si>
  <si>
    <t>Large portion of the income is from non-operating source</t>
  </si>
  <si>
    <t xml:space="preserve">Asset Plays </t>
  </si>
  <si>
    <t>The growth rate expectation is high</t>
  </si>
  <si>
    <t>Growth rate was high in the past</t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</si>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</sst>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3" fontId="2" fillId="0" borderId="0" xfId="0" applyNumberFormat="1" applyFont="1"/>
    <xf numFmtId="10" fontId="2" fillId="0" borderId="0" xfId="0" applyNumberFormat="1" applyFont="1"/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173" fontId="2" fillId="8" borderId="9" xfId="0" applyNumberFormat="1" applyFont="1" applyFill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7" fillId="8" borderId="13" xfId="0" applyNumberFormat="1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8" zoomScaleNormal="100" workbookViewId="0">
      <selection activeCell="B39" sqref="B39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0697.HK : SHOUCHENG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8" t="s">
        <v>307</v>
      </c>
      <c r="D3" s="389"/>
      <c r="E3" s="15"/>
      <c r="G3" s="7" t="s">
        <v>2</v>
      </c>
      <c r="I3" s="398" t="s">
        <v>3</v>
      </c>
      <c r="J3" s="399"/>
    </row>
    <row r="4" spans="1:12" ht="15.75" customHeight="1" x14ac:dyDescent="0.3">
      <c r="B4" s="5" t="s">
        <v>4</v>
      </c>
      <c r="C4" s="390" t="s">
        <v>308</v>
      </c>
      <c r="D4" s="391"/>
      <c r="E4" s="6"/>
      <c r="G4" s="5" t="s">
        <v>5</v>
      </c>
      <c r="I4" s="32">
        <v>1.81</v>
      </c>
      <c r="J4" s="33" t="s">
        <v>6</v>
      </c>
      <c r="K4" s="152"/>
    </row>
    <row r="5" spans="1:12" ht="15.75" customHeight="1" x14ac:dyDescent="0.3">
      <c r="B5" s="5" t="s">
        <v>7</v>
      </c>
      <c r="C5" s="392">
        <v>44502</v>
      </c>
      <c r="D5" s="391"/>
      <c r="E5" s="122" t="str">
        <f ca="1">IF(C5+30&gt;=TODAY(),"Patience Premium","")</f>
        <v/>
      </c>
      <c r="G5" s="5" t="s">
        <v>8</v>
      </c>
      <c r="I5" s="400">
        <v>7528737440</v>
      </c>
      <c r="J5" s="401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44985</v>
      </c>
      <c r="E6" s="352">
        <f>Data!C3</f>
        <v>44561</v>
      </c>
      <c r="G6" s="134" t="s">
        <v>9</v>
      </c>
      <c r="H6" s="133"/>
      <c r="I6" s="402">
        <f>I4*I5/1000000</f>
        <v>13627.0147664</v>
      </c>
      <c r="J6" s="403"/>
      <c r="K6" s="151"/>
    </row>
    <row r="7" spans="1:12" ht="15.75" customHeight="1" x14ac:dyDescent="0.3">
      <c r="B7" s="139" t="s">
        <v>10</v>
      </c>
      <c r="C7" s="145">
        <f>(Data!C39)/I4</f>
        <v>5.1364000993514028E-2</v>
      </c>
      <c r="D7" s="145">
        <f>(Data!C40)/I4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 x14ac:dyDescent="0.3">
      <c r="B10" s="3" t="s">
        <v>274</v>
      </c>
      <c r="C10" s="300" t="s">
        <v>275</v>
      </c>
      <c r="D10" s="300">
        <v>2.8999999999999998E-2</v>
      </c>
      <c r="E10" s="5"/>
      <c r="G10" s="5" t="s">
        <v>14</v>
      </c>
      <c r="I10" s="138">
        <f>I4/(Data!C28*I12*Data!C4/Common_Shares)</f>
        <v>1.3322714638164086</v>
      </c>
      <c r="J10" s="130">
        <f>IF(Asset_Model!D60/'FCFF Model'!C4&lt;0,"Negative EV",Asset_Model!D60/'FCFF Model'!C4)</f>
        <v>36.543859138019847</v>
      </c>
    </row>
    <row r="11" spans="1:12" ht="15.75" customHeight="1" thickBot="1" x14ac:dyDescent="0.35">
      <c r="B11" s="313" t="s">
        <v>276</v>
      </c>
      <c r="C11" s="412">
        <f ca="1">C12-D10</f>
        <v>5.1000000000000004E-2</v>
      </c>
      <c r="D11" s="413"/>
      <c r="E11" s="13"/>
      <c r="G11" s="5" t="s">
        <v>15</v>
      </c>
      <c r="H11" s="6"/>
      <c r="I11" s="410" t="s">
        <v>6</v>
      </c>
      <c r="J11" s="411"/>
    </row>
    <row r="12" spans="1:12" ht="15.75" customHeight="1" thickTop="1" x14ac:dyDescent="0.3">
      <c r="B12" s="314" t="s">
        <v>150</v>
      </c>
      <c r="C12" s="366">
        <f ca="1">IF(C10="CN",8%,6%)*IF($C$5+30&gt;=TODAY(),1.2,1)</f>
        <v>0.08</v>
      </c>
      <c r="D12" s="367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Model'!C30,'FCFF Model'!E30)</f>
        <v>1.1287019345859817</v>
      </c>
      <c r="E14" s="127" t="s">
        <v>234</v>
      </c>
      <c r="F14" s="184">
        <f ca="1">MAX('FCFF Model'!C30,'FCFF Model'!E30)</f>
        <v>1.4843141533884854</v>
      </c>
      <c r="G14" s="185" t="s">
        <v>24</v>
      </c>
      <c r="H14" s="193">
        <f ca="1">IF('FCFF Model'!C33&lt;0, "Error", 'FCFF Model'!C33)</f>
        <v>1.378685833533126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1.81</v>
      </c>
      <c r="C16" s="376">
        <v>0.1</v>
      </c>
      <c r="D16" s="159">
        <f ca="1">H14/B16-1-C16</f>
        <v>-0.33829511959495795</v>
      </c>
      <c r="E16" s="371">
        <f>'FCFF Model'!D11*Exchange_Rate</f>
        <v>0.1235</v>
      </c>
      <c r="F16" s="161">
        <f>E16/B16</f>
        <v>6.8232044198895031E-2</v>
      </c>
      <c r="G16" s="379" t="s">
        <v>25</v>
      </c>
      <c r="H16" s="404">
        <f>('FCFF Model'!G19)*Exchange_Rate</f>
        <v>0.87171665684487487</v>
      </c>
      <c r="I16" s="379" t="s">
        <v>26</v>
      </c>
      <c r="J16" s="206">
        <f>B16-$H$16</f>
        <v>0.93828334315512518</v>
      </c>
    </row>
    <row r="17" spans="1:10" ht="15.75" customHeight="1" x14ac:dyDescent="0.3">
      <c r="B17" s="290">
        <f ca="1">H14/(1+C16)</f>
        <v>1.2533507577573872</v>
      </c>
      <c r="C17" s="377"/>
      <c r="D17" s="289">
        <f ca="1">H14/B17-1-C16</f>
        <v>0</v>
      </c>
      <c r="E17" s="372"/>
      <c r="F17" s="162">
        <f ca="1">E16/B17</f>
        <v>9.8535864151052005E-2</v>
      </c>
      <c r="G17" s="380"/>
      <c r="H17" s="405"/>
      <c r="I17" s="380"/>
      <c r="J17" s="205">
        <f ca="1">B17-$H$16</f>
        <v>0.38163410091251238</v>
      </c>
    </row>
    <row r="18" spans="1:10" ht="15.75" customHeight="1" x14ac:dyDescent="0.3">
      <c r="B18" s="355">
        <f>C35</f>
        <v>1.1000000000000001</v>
      </c>
      <c r="C18" s="378"/>
      <c r="D18" s="160">
        <f ca="1">H14/B18-1-C16</f>
        <v>0.15335075775738724</v>
      </c>
      <c r="E18" s="373"/>
      <c r="F18" s="163">
        <f>E16/B18</f>
        <v>0.11227272727272726</v>
      </c>
      <c r="G18" s="381"/>
      <c r="H18" s="406"/>
      <c r="I18" s="381"/>
      <c r="J18" s="207">
        <f>B18-$H$16</f>
        <v>0.22828334315512522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317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5"/>
      <c r="D21" s="396"/>
      <c r="E21" s="396"/>
      <c r="F21" s="396"/>
      <c r="G21" s="396"/>
      <c r="H21" s="396"/>
      <c r="I21" s="396"/>
      <c r="J21" s="397"/>
    </row>
    <row r="22" spans="1:10" ht="52.5" customHeight="1" x14ac:dyDescent="0.3">
      <c r="A22" s="6"/>
      <c r="B22" s="24" t="s">
        <v>29</v>
      </c>
      <c r="C22" s="408" t="s">
        <v>314</v>
      </c>
      <c r="D22" s="409"/>
      <c r="E22" s="409"/>
      <c r="F22" s="409"/>
      <c r="G22" s="408"/>
      <c r="H22" s="408"/>
      <c r="I22" s="409"/>
      <c r="J22" s="409"/>
    </row>
    <row r="23" spans="1:10" ht="52.5" customHeight="1" x14ac:dyDescent="0.3">
      <c r="A23" s="6"/>
      <c r="B23" s="25" t="s">
        <v>30</v>
      </c>
      <c r="C23" s="374"/>
      <c r="D23" s="375"/>
      <c r="E23" s="375"/>
      <c r="F23" s="375"/>
      <c r="G23" s="374"/>
      <c r="H23" s="374"/>
      <c r="I23" s="375"/>
      <c r="J23" s="375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323</v>
      </c>
      <c r="G25" s="12"/>
      <c r="H25" s="353">
        <v>0.15</v>
      </c>
      <c r="I25" s="30" t="s">
        <v>324</v>
      </c>
      <c r="J25" s="354">
        <f ca="1">H14/(H25+C16+1)</f>
        <v>1.1029486668265007</v>
      </c>
    </row>
    <row r="26" spans="1:10" ht="15.75" customHeight="1" x14ac:dyDescent="0.3">
      <c r="B26" s="23" t="s">
        <v>33</v>
      </c>
      <c r="C26" s="393">
        <v>44503</v>
      </c>
      <c r="D26" s="394"/>
      <c r="E26" s="385" t="str">
        <f>IF(C26="","","Action_Planning")</f>
        <v>Action_Planning</v>
      </c>
      <c r="F26" s="386"/>
      <c r="G26" s="386"/>
      <c r="H26" s="387"/>
      <c r="I26" s="407" t="s">
        <v>34</v>
      </c>
      <c r="J26" s="407"/>
    </row>
    <row r="27" spans="1:10" ht="15.75" customHeight="1" x14ac:dyDescent="0.3">
      <c r="B27" s="23" t="s">
        <v>35</v>
      </c>
      <c r="C27" s="370">
        <f>C31/D25</f>
        <v>4.48E-2</v>
      </c>
      <c r="D27" s="369"/>
      <c r="E27" s="368">
        <f>E31/D25</f>
        <v>0.11</v>
      </c>
      <c r="F27" s="369"/>
      <c r="G27" s="383">
        <f>G31/D25</f>
        <v>0</v>
      </c>
      <c r="H27" s="384"/>
      <c r="I27" s="382">
        <f>C27+E27+G27</f>
        <v>0.15479999999999999</v>
      </c>
      <c r="J27" s="382"/>
    </row>
    <row r="28" spans="1:10" ht="15.75" customHeight="1" x14ac:dyDescent="0.3">
      <c r="B28" s="23" t="s">
        <v>36</v>
      </c>
      <c r="C28" s="418">
        <v>16000</v>
      </c>
      <c r="D28" s="409"/>
      <c r="E28" s="418">
        <v>60000</v>
      </c>
      <c r="F28" s="409"/>
      <c r="G28" s="400"/>
      <c r="H28" s="401"/>
      <c r="I28" s="417">
        <f>C28+E28+G28</f>
        <v>76000</v>
      </c>
      <c r="J28" s="417"/>
    </row>
    <row r="29" spans="1:10" ht="15.75" customHeight="1" x14ac:dyDescent="0.3">
      <c r="B29" s="23" t="s">
        <v>37</v>
      </c>
      <c r="C29" s="419">
        <v>1.68</v>
      </c>
      <c r="D29" s="409"/>
      <c r="E29" s="419">
        <v>1.1000000000000001</v>
      </c>
      <c r="F29" s="409"/>
      <c r="G29" s="429"/>
      <c r="H29" s="430"/>
      <c r="I29" s="414"/>
      <c r="J29" s="414"/>
    </row>
    <row r="30" spans="1:10" ht="15.75" customHeight="1" x14ac:dyDescent="0.3">
      <c r="B30" s="23" t="s">
        <v>38</v>
      </c>
      <c r="C30" s="420">
        <f>C29*$I$5/1000000</f>
        <v>12648.278899199999</v>
      </c>
      <c r="D30" s="421"/>
      <c r="E30" s="420">
        <f>E29*$I$5/1000000</f>
        <v>8281.6111840000012</v>
      </c>
      <c r="F30" s="421"/>
      <c r="G30" s="437">
        <f>G29*$I$5/1000000</f>
        <v>0</v>
      </c>
      <c r="H30" s="438"/>
      <c r="I30" s="415"/>
      <c r="J30" s="415"/>
    </row>
    <row r="31" spans="1:10" ht="15.75" customHeight="1" x14ac:dyDescent="0.3">
      <c r="B31" s="2" t="s">
        <v>39</v>
      </c>
      <c r="C31" s="424">
        <f>C28*C29</f>
        <v>26880</v>
      </c>
      <c r="D31" s="425"/>
      <c r="E31" s="416">
        <f>E28*E29</f>
        <v>66000</v>
      </c>
      <c r="F31" s="426"/>
      <c r="G31" s="439">
        <f>G28*G29</f>
        <v>0</v>
      </c>
      <c r="H31" s="440"/>
      <c r="I31" s="416">
        <f>C31+E31+G31</f>
        <v>92880</v>
      </c>
      <c r="J31" s="416"/>
    </row>
    <row r="32" spans="1:10" ht="15.75" customHeight="1" x14ac:dyDescent="0.3">
      <c r="B32" s="1" t="s">
        <v>40</v>
      </c>
      <c r="C32" s="422"/>
      <c r="D32" s="423"/>
      <c r="E32" s="427">
        <f>IF(C31=0,"-",(C31+E31)/(C28+E28))</f>
        <v>1.2221052631578948</v>
      </c>
      <c r="F32" s="369"/>
      <c r="G32" s="117"/>
      <c r="H32" s="117"/>
      <c r="I32" s="427">
        <f>IF(I31=0,"",I31/I28)</f>
        <v>1.2221052631578948</v>
      </c>
      <c r="J32" s="427"/>
    </row>
    <row r="33" spans="2:10" ht="15.75" customHeight="1" x14ac:dyDescent="0.3">
      <c r="B33" s="1" t="s">
        <v>41</v>
      </c>
      <c r="C33" s="435"/>
      <c r="D33" s="436"/>
      <c r="E33" s="420">
        <f>IF(E32="-","-",E32*$I$5/1000000)</f>
        <v>9200.9096503578949</v>
      </c>
      <c r="F33" s="421"/>
      <c r="G33" s="118"/>
      <c r="H33" s="118"/>
      <c r="I33" s="420">
        <f>IF(I32="","",I32*$I$5/1000000)</f>
        <v>9200.9096503578949</v>
      </c>
      <c r="J33" s="420"/>
    </row>
    <row r="34" spans="2:10" ht="15.75" customHeight="1" x14ac:dyDescent="0.3"/>
    <row r="35" spans="2:10" ht="15.75" customHeight="1" x14ac:dyDescent="0.3">
      <c r="B35" s="146" t="s">
        <v>320</v>
      </c>
      <c r="C35" s="431">
        <f>E29</f>
        <v>1.1000000000000001</v>
      </c>
      <c r="D35" s="432"/>
      <c r="G35" s="433" t="s">
        <v>321</v>
      </c>
      <c r="H35" s="434"/>
      <c r="I35" s="431">
        <v>1.9</v>
      </c>
      <c r="J35" s="432"/>
    </row>
    <row r="36" spans="2:10" ht="15.75" customHeight="1" x14ac:dyDescent="0.3">
      <c r="B36" s="146" t="s">
        <v>322</v>
      </c>
      <c r="C36" s="418">
        <f>E28</f>
        <v>60000</v>
      </c>
      <c r="D36" s="428"/>
      <c r="G36" s="441" t="s">
        <v>328</v>
      </c>
      <c r="H36" s="441"/>
      <c r="I36" s="442">
        <f>IF(C26="",0,I35/C29-1)</f>
        <v>0.13095238095238093</v>
      </c>
      <c r="J36" s="443"/>
    </row>
    <row r="37" spans="2:10" ht="15.75" customHeight="1" x14ac:dyDescent="0.3"/>
    <row r="38" spans="2:10" ht="15.75" customHeight="1" x14ac:dyDescent="0.3">
      <c r="B38" s="21" t="s">
        <v>329</v>
      </c>
      <c r="G38" s="349" t="s">
        <v>141</v>
      </c>
      <c r="H38" s="133"/>
      <c r="I38" s="133"/>
      <c r="J38" s="133"/>
    </row>
    <row r="39" spans="2:10" ht="15.75" customHeight="1" x14ac:dyDescent="0.3">
      <c r="B39" s="3" t="s">
        <v>330</v>
      </c>
      <c r="F39" s="214">
        <f>'Qualitative Analysis'!E8</f>
        <v>0.51</v>
      </c>
      <c r="G39" s="358"/>
      <c r="H39" s="116"/>
      <c r="I39" s="116"/>
      <c r="J39" s="116"/>
    </row>
    <row r="40" spans="2:10" ht="15.75" customHeight="1" x14ac:dyDescent="0.3">
      <c r="B40" s="3" t="s">
        <v>331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0" ht="15.75" customHeight="1" x14ac:dyDescent="0.3">
      <c r="B41" s="3" t="s">
        <v>332</v>
      </c>
      <c r="E41" s="359"/>
      <c r="F41" s="360">
        <f>'Qualitative Analysis'!E64</f>
        <v>0.70296768707482993</v>
      </c>
      <c r="G41" s="358" t="s">
        <v>333</v>
      </c>
      <c r="H41" s="116"/>
      <c r="I41" s="116"/>
      <c r="J41" s="116"/>
    </row>
    <row r="42" spans="2:10" ht="15.75" customHeight="1" x14ac:dyDescent="0.3">
      <c r="B42" s="3" t="s">
        <v>341</v>
      </c>
      <c r="E42" s="359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334</v>
      </c>
      <c r="H42" s="74"/>
      <c r="I42" s="74"/>
      <c r="J42" s="74"/>
    </row>
    <row r="43" spans="2:10" ht="15.75" customHeight="1" x14ac:dyDescent="0.3">
      <c r="B43" s="3" t="s">
        <v>342</v>
      </c>
      <c r="F43" s="361">
        <f>AVERAGE(80%*0.5,0.6)</f>
        <v>0.5</v>
      </c>
      <c r="G43" s="116"/>
      <c r="H43" s="116"/>
      <c r="I43" s="116"/>
      <c r="J43" s="116"/>
    </row>
    <row r="44" spans="2:10" ht="15.75" customHeight="1" x14ac:dyDescent="0.3"/>
    <row r="45" spans="2:10" ht="15.75" customHeight="1" x14ac:dyDescent="0.3">
      <c r="B45" s="3" t="s">
        <v>335</v>
      </c>
      <c r="F45" s="360">
        <f>I35/C29-1</f>
        <v>0.13095238095238093</v>
      </c>
    </row>
    <row r="46" spans="2:10" ht="15.75" customHeight="1" x14ac:dyDescent="0.3">
      <c r="B46" s="3" t="s">
        <v>336</v>
      </c>
      <c r="F46" s="360">
        <f ca="1">D14/C29-1</f>
        <v>-0.32815361036548707</v>
      </c>
    </row>
    <row r="47" spans="2:10" ht="15.75" customHeight="1" x14ac:dyDescent="0.3"/>
    <row r="48" spans="2:10" ht="15.75" customHeight="1" x14ac:dyDescent="0.3">
      <c r="B48" s="3" t="s">
        <v>337</v>
      </c>
      <c r="F48" s="214">
        <f>IF(F45&lt;=0,0,AVERAGE(F39:F41,1-F43,E42))</f>
        <v>0.60259353741496602</v>
      </c>
      <c r="G48" s="74"/>
    </row>
    <row r="49" spans="2:8" ht="15.75" customHeight="1" x14ac:dyDescent="0.3">
      <c r="B49" s="3" t="s">
        <v>338</v>
      </c>
      <c r="E49" s="362">
        <f ca="1">F45/ABS(F46)</f>
        <v>0.39905817524460674</v>
      </c>
      <c r="F49" s="363">
        <f ca="1">IF(F46&gt;=0,100,F45/ABS(F46))</f>
        <v>0.39905817524460674</v>
      </c>
      <c r="G49" s="74"/>
    </row>
    <row r="50" spans="2:8" ht="15.75" customHeight="1" x14ac:dyDescent="0.3">
      <c r="B50" s="3" t="s">
        <v>339</v>
      </c>
      <c r="E50" s="107">
        <f ca="1">MAX(F48-ABS((1-F48)/F49),0)/2</f>
        <v>0</v>
      </c>
      <c r="F50" s="364">
        <f ca="1">MIN(E50,H50)</f>
        <v>0</v>
      </c>
      <c r="G50" s="365" t="s">
        <v>340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  <mergeCell ref="C28:D28"/>
    <mergeCell ref="E29:F29"/>
    <mergeCell ref="E30:F30"/>
    <mergeCell ref="E28:F28"/>
    <mergeCell ref="C32:D32"/>
    <mergeCell ref="C31:D31"/>
    <mergeCell ref="E31:F31"/>
    <mergeCell ref="E32:F32"/>
    <mergeCell ref="G28:H28"/>
    <mergeCell ref="I29:J29"/>
    <mergeCell ref="I30:J30"/>
    <mergeCell ref="I31:J31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6" priority="15" operator="lessThan">
      <formula>0</formula>
    </cfRule>
  </conditionalFormatting>
  <conditionalFormatting sqref="E26:H26">
    <cfRule type="containsBlanks" dxfId="15" priority="3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7" operator="greaterThan">
      <formula>$B$16</formula>
    </cfRule>
  </conditionalFormatting>
  <conditionalFormatting sqref="H16">
    <cfRule type="cellIs" dxfId="12" priority="10" operator="greaterThan">
      <formula>$B$16</formula>
    </cfRule>
  </conditionalFormatting>
  <conditionalFormatting sqref="I16">
    <cfRule type="cellIs" dxfId="11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disablePrompts="1"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CB3F70C4-C46F-461A-9520-C3AFCCC548A4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7" sqref="C7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-1095327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204049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1195031</v>
      </c>
      <c r="D7" s="35">
        <v>705854</v>
      </c>
      <c r="E7" s="35">
        <v>396091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0.69302858664823042</v>
      </c>
      <c r="D8" s="14">
        <f t="shared" si="1"/>
        <v>0.78205008445029045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647828</v>
      </c>
      <c r="D9" s="35">
        <v>531460</v>
      </c>
      <c r="E9" s="35">
        <v>193695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0.45789858171043263</v>
      </c>
      <c r="D10" s="14">
        <f t="shared" si="2"/>
        <v>0.2470680905683045</v>
      </c>
      <c r="E10" s="14">
        <f t="shared" si="2"/>
        <v>0.51098358710498348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343154</v>
      </c>
      <c r="D11" s="35">
        <v>250972</v>
      </c>
      <c r="E11" s="35">
        <v>230774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0.28715070989790226</v>
      </c>
      <c r="D12" s="14">
        <f t="shared" si="3"/>
        <v>0.35555794824425446</v>
      </c>
      <c r="E12" s="14">
        <f t="shared" si="3"/>
        <v>0.5826287393553502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0.1707478718125304</v>
      </c>
      <c r="D13" s="14">
        <f t="shared" si="4"/>
        <v>-0.10848985767594999</v>
      </c>
      <c r="E13" s="14">
        <f t="shared" si="4"/>
        <v>-7.1645152250366703E-2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204049</v>
      </c>
      <c r="D14" s="27">
        <f t="shared" si="5"/>
        <v>-76578</v>
      </c>
      <c r="E14" s="27">
        <f t="shared" si="5"/>
        <v>-28378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 t="str">
        <f>IF(D14="","",IF(ABS(C14+D14)=ABS(C14)+ABS(D14),IF(C14&lt;0,-1,1)*(C14-D14)/D14,"Turn"))</f>
        <v>Turn</v>
      </c>
      <c r="D15" s="14">
        <f t="shared" ref="D15:M15" si="6">IF(E14="","",IF(ABS(D14+E14)=ABS(D14)+ABS(E14),IF(D14&lt;0,-1,1)*(D14-E14)/E14,"Turn"))</f>
        <v>-1.6984988371273522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IF(C14="","",C14*(1-Operation!$D$17))</f>
        <v>204049</v>
      </c>
      <c r="D16" s="143">
        <f>IF(D14="","",D14*(1-Operation!$D$17))</f>
        <v>-76578</v>
      </c>
      <c r="E16" s="143">
        <f>IF(E14="","",E14*(1-Operation!$D$17))</f>
        <v>-28378</v>
      </c>
      <c r="F16" s="143" t="str">
        <f>IF(F14="","",F14*(1-Operation!$D$17))</f>
        <v/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3" t="str">
        <f>IF(M14="","",M14*(1-Operation!$D$17))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0.1707478718125304</v>
      </c>
      <c r="D17" s="129">
        <f t="shared" si="7"/>
        <v>-0.10848985767594999</v>
      </c>
      <c r="E17" s="129">
        <f t="shared" si="7"/>
        <v>-7.1645152250366703E-2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74343</v>
      </c>
      <c r="D18" s="144">
        <v>77168</v>
      </c>
      <c r="E18" s="144">
        <v>27358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-1095327</v>
      </c>
      <c r="D19" s="35">
        <v>658613</v>
      </c>
      <c r="E19" s="35">
        <v>443003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0.48670099299553277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8106276</v>
      </c>
      <c r="D21" s="35">
        <v>4814457</v>
      </c>
      <c r="E21" s="35">
        <v>3809545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1008076</v>
      </c>
      <c r="D22" s="35">
        <v>699855</v>
      </c>
      <c r="E22" s="35">
        <v>289962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256312</v>
      </c>
      <c r="D23" s="35">
        <v>128928</v>
      </c>
      <c r="E23" s="35">
        <v>79063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77275</v>
      </c>
      <c r="D24" s="140">
        <v>122828</v>
      </c>
      <c r="E24" s="140">
        <v>73353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2085963</v>
      </c>
      <c r="D25" s="35">
        <v>1488416</v>
      </c>
      <c r="E25" s="35">
        <v>848368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1512358</v>
      </c>
      <c r="D26" s="140">
        <v>1011584</v>
      </c>
      <c r="E26" s="140">
        <v>397411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2342275</v>
      </c>
      <c r="D27" s="27">
        <f t="shared" si="9"/>
        <v>1617344</v>
      </c>
      <c r="E27" s="27">
        <f t="shared" si="9"/>
        <v>927431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10228407</v>
      </c>
      <c r="D28" s="35">
        <v>11919298</v>
      </c>
      <c r="E28" s="35">
        <v>9822624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10140637</v>
      </c>
      <c r="D29" s="140">
        <v>11772290</v>
      </c>
      <c r="E29" s="140">
        <v>9684305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2240431</v>
      </c>
      <c r="D30" s="35">
        <v>1792918</v>
      </c>
      <c r="E30" s="35">
        <v>1104686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2573462</v>
      </c>
      <c r="D31" s="35">
        <v>3738533</v>
      </c>
      <c r="E31" s="35">
        <v>3057215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0.19974415636991275</v>
      </c>
      <c r="D32" s="14">
        <f t="shared" si="10"/>
        <v>0.3838613924340098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72544.949099999998</v>
      </c>
      <c r="D33" s="248">
        <f>IF(E7="","",(D7-E7)*Asset_Model!$D$65)</f>
        <v>45937.852899999998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520057.94909999997</v>
      </c>
      <c r="D34" s="143">
        <f>IF(E7="","",D30-E30+D33+IF($C$49="Yes",D51,0))</f>
        <v>734169.85290000006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5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2.5486914863586687</v>
      </c>
      <c r="D35" s="239">
        <f t="shared" si="19"/>
        <v>-9.5872163402021471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699938</v>
      </c>
      <c r="D37" s="165">
        <v>800174</v>
      </c>
      <c r="E37" s="165">
        <v>899669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9.2968841798260399E-2</v>
      </c>
      <c r="D39" s="170">
        <f t="shared" si="20"/>
        <v>0.10628262791430272</v>
      </c>
      <c r="E39" s="170">
        <f t="shared" si="20"/>
        <v>0.11949799115321519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0.20393820855974934</v>
      </c>
      <c r="D42" s="48">
        <f t="shared" ref="D42:M42" si="22">IF(D29="","",D25/D29)</f>
        <v>0.12643385441575089</v>
      </c>
      <c r="E42" s="48">
        <f t="shared" si="22"/>
        <v>8.7602362792167321E-2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0.23097907951936353</v>
      </c>
      <c r="D43" s="14">
        <f t="shared" si="23"/>
        <v>0.13738567432504636</v>
      </c>
      <c r="E43" s="14">
        <f t="shared" si="23"/>
        <v>9.5766397278896118E-2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8.7115731500357563E-2</v>
      </c>
      <c r="D44" s="50">
        <f t="shared" si="24"/>
        <v>-4.7347997704879109E-2</v>
      </c>
      <c r="E44" s="50">
        <f t="shared" si="24"/>
        <v>-3.0598502745756827E-2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0.3643389577993521</v>
      </c>
      <c r="D45" s="14">
        <f t="shared" si="25"/>
        <v>-1.0077045626681291</v>
      </c>
      <c r="E45" s="14">
        <f t="shared" si="25"/>
        <v>-0.96405666361265774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8.041334185120963</v>
      </c>
      <c r="D46" s="51">
        <f t="shared" si="26"/>
        <v>6.8792206957155413</v>
      </c>
      <c r="E46" s="51">
        <f t="shared" si="26"/>
        <v>13.138083610955919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4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297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298</v>
      </c>
      <c r="C52" s="342" t="str">
        <f>IF(C51="","",C51/C7)</f>
        <v/>
      </c>
      <c r="D52" s="342" t="str">
        <f t="shared" ref="D52:M52" si="27">IF(D51="","",D51/D7)</f>
        <v/>
      </c>
      <c r="E52" s="342" t="str">
        <f t="shared" si="27"/>
        <v/>
      </c>
      <c r="F52" s="342" t="str">
        <f t="shared" si="27"/>
        <v/>
      </c>
      <c r="G52" s="342" t="str">
        <f t="shared" si="27"/>
        <v/>
      </c>
      <c r="H52" s="342" t="str">
        <f>IF(H51="","",H51/H7)</f>
        <v/>
      </c>
      <c r="I52" s="342" t="str">
        <f t="shared" si="27"/>
        <v/>
      </c>
      <c r="J52" s="342" t="str">
        <f t="shared" si="27"/>
        <v/>
      </c>
      <c r="K52" s="342" t="str">
        <f t="shared" si="27"/>
        <v/>
      </c>
      <c r="L52" s="342" t="str">
        <f t="shared" si="27"/>
        <v/>
      </c>
      <c r="M52" s="343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H9" sqref="H9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9" t="s">
        <v>141</v>
      </c>
    </row>
    <row r="3" spans="1:11" ht="15" customHeight="1" x14ac:dyDescent="0.3">
      <c r="B3" s="5" t="s">
        <v>259</v>
      </c>
      <c r="C3" s="6"/>
      <c r="D3" s="274">
        <v>10746578</v>
      </c>
      <c r="E3" s="156" t="str">
        <f>IF((C46-I46)=D3,"", "Error!")</f>
        <v/>
      </c>
      <c r="F3" s="6"/>
      <c r="G3" s="6"/>
      <c r="H3" s="275" t="s">
        <v>260</v>
      </c>
      <c r="I3" s="276">
        <v>10646128</v>
      </c>
      <c r="K3" s="74"/>
    </row>
    <row r="4" spans="1:11" ht="15" customHeight="1" x14ac:dyDescent="0.3">
      <c r="B4" s="5" t="s">
        <v>226</v>
      </c>
      <c r="C4" s="6"/>
      <c r="D4" s="277">
        <f>D3-I3</f>
        <v>100450</v>
      </c>
      <c r="E4" s="150"/>
      <c r="F4" s="6"/>
      <c r="G4" s="6"/>
      <c r="H4" s="60" t="s">
        <v>82</v>
      </c>
      <c r="I4" s="91">
        <f>(I3*Dashboard!I12*Data!C4)/Dashboard!I5</f>
        <v>1.4140655169401153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7272819.1814596411</v>
      </c>
      <c r="E6" s="14">
        <f>1-D6/D3</f>
        <v>0.32324325180912095</v>
      </c>
      <c r="F6" s="6"/>
      <c r="G6" s="6"/>
      <c r="H6" s="3" t="s">
        <v>325</v>
      </c>
      <c r="I6" s="69">
        <f>C26/I26</f>
        <v>3.2849980734912396</v>
      </c>
      <c r="J6" s="6"/>
      <c r="K6" s="74"/>
    </row>
    <row r="7" spans="1:11" ht="15" customHeight="1" x14ac:dyDescent="0.3">
      <c r="B7" s="53" t="s">
        <v>85</v>
      </c>
      <c r="D7" s="61">
        <f>MAX((D6*Exchange_Rate*Data!C4)/Dashboard!I5, 0)</f>
        <v>0.96600781198974062</v>
      </c>
      <c r="E7" s="49" t="str">
        <f>Dashboard!J4</f>
        <v>HKD</v>
      </c>
      <c r="H7" s="3" t="s">
        <v>326</v>
      </c>
      <c r="I7" s="69">
        <f>C25/I26</f>
        <v>3.2849980734912396</v>
      </c>
      <c r="J7" s="6"/>
      <c r="K7" s="116"/>
    </row>
    <row r="8" spans="1:11" ht="15" customHeight="1" x14ac:dyDescent="0.3">
      <c r="D8" s="6"/>
      <c r="H8" s="3" t="s">
        <v>327</v>
      </c>
      <c r="I8" s="69">
        <f>C24/I26</f>
        <v>2.3760043194354314</v>
      </c>
      <c r="K8" s="74"/>
    </row>
    <row r="9" spans="1:11" ht="15" customHeight="1" x14ac:dyDescent="0.3">
      <c r="A9" s="4"/>
      <c r="B9" s="268" t="s">
        <v>255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4228657</v>
      </c>
      <c r="D11" s="65">
        <v>1</v>
      </c>
      <c r="E11" s="27">
        <f t="shared" ref="E11:E21" si="0">C11*D11</f>
        <v>4228657</v>
      </c>
      <c r="F11" s="6"/>
      <c r="G11" s="6"/>
      <c r="H11" s="5" t="s">
        <v>92</v>
      </c>
      <c r="I11" s="64">
        <v>579508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93311</v>
      </c>
      <c r="J12" s="6"/>
      <c r="K12" s="74"/>
    </row>
    <row r="13" spans="1:11" ht="14" x14ac:dyDescent="0.3">
      <c r="B13" s="5" t="s">
        <v>95</v>
      </c>
      <c r="C13" s="64">
        <v>457964</v>
      </c>
      <c r="D13" s="65">
        <v>0.9</v>
      </c>
      <c r="E13" s="27">
        <f t="shared" si="0"/>
        <v>412167.60000000003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1311168</v>
      </c>
      <c r="D15" s="65">
        <v>0.7</v>
      </c>
      <c r="E15" s="27">
        <f t="shared" si="0"/>
        <v>917817.6</v>
      </c>
      <c r="G15" s="6"/>
      <c r="H15" s="5" t="s">
        <v>100</v>
      </c>
      <c r="I15" s="155">
        <f>I26-SUM(I11:I14)</f>
        <v>1299661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481804</v>
      </c>
      <c r="D17" s="65">
        <v>0.8</v>
      </c>
      <c r="E17" s="27">
        <f t="shared" si="0"/>
        <v>385443.2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1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1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4686621</v>
      </c>
      <c r="D24" s="68">
        <f>IF(E24=0,0,E24/C24)</f>
        <v>0.99022826893832461</v>
      </c>
      <c r="E24" s="27">
        <f>SUM(E11:E14)</f>
        <v>4640824.5999999996</v>
      </c>
      <c r="F24" s="6"/>
      <c r="G24" s="6"/>
      <c r="H24" s="66" t="s">
        <v>108</v>
      </c>
      <c r="I24" s="69">
        <f>E24/($I$26-I15)</f>
        <v>6.8975825593510285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6479593</v>
      </c>
      <c r="D25" s="68">
        <f>IF(E25=0,0,E25/C25)</f>
        <v>0.91735474743552559</v>
      </c>
      <c r="E25" s="27">
        <f>E24+SUM(E15:E17)</f>
        <v>5944085.3999999994</v>
      </c>
      <c r="F25" s="6"/>
      <c r="G25" s="6"/>
      <c r="H25" s="66" t="s">
        <v>110</v>
      </c>
      <c r="I25" s="69">
        <f>E25/$I$26</f>
        <v>3.0135085780337438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6479593</v>
      </c>
      <c r="D26" s="14">
        <f t="shared" ref="D26" si="2">E26/C26</f>
        <v>0.91735474743552559</v>
      </c>
      <c r="E26" s="27">
        <f>SUM(E11:E22)</f>
        <v>5944085.3999999994</v>
      </c>
      <c r="H26" s="5" t="s">
        <v>58</v>
      </c>
      <c r="I26" s="64">
        <v>1972480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486531</v>
      </c>
      <c r="J28" s="6"/>
    </row>
    <row r="29" spans="2:10" ht="15" customHeight="1" x14ac:dyDescent="0.3">
      <c r="B29" s="5" t="s">
        <v>114</v>
      </c>
      <c r="C29" s="64">
        <v>4002702</v>
      </c>
      <c r="D29" s="65">
        <v>0.8</v>
      </c>
      <c r="E29" s="27">
        <f t="shared" ref="E29:E40" si="3">C29*D29</f>
        <v>3202161.6</v>
      </c>
      <c r="F29" s="6"/>
      <c r="G29" s="6"/>
      <c r="H29" s="5" t="s">
        <v>115</v>
      </c>
      <c r="I29" s="64">
        <v>1467653</v>
      </c>
      <c r="J29" s="6"/>
    </row>
    <row r="30" spans="2:10" ht="15" customHeight="1" x14ac:dyDescent="0.3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182450</v>
      </c>
      <c r="D32" s="65">
        <v>0.4</v>
      </c>
      <c r="E32" s="27">
        <f t="shared" si="3"/>
        <v>72980</v>
      </c>
      <c r="G32" s="6"/>
      <c r="H32" s="5" t="s">
        <v>120</v>
      </c>
      <c r="I32" s="155">
        <f>I42-SUM(I28:I31)</f>
        <v>106556</v>
      </c>
      <c r="J32" s="6"/>
    </row>
    <row r="33" spans="2:10" ht="14" x14ac:dyDescent="0.3">
      <c r="B33" s="5" t="s">
        <v>121</v>
      </c>
      <c r="C33" s="64">
        <v>981845</v>
      </c>
      <c r="D33" s="65">
        <v>0.8</v>
      </c>
      <c r="E33" s="220">
        <f t="shared" si="3"/>
        <v>785476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270919</v>
      </c>
      <c r="D34" s="65">
        <v>0.7</v>
      </c>
      <c r="E34" s="220">
        <f t="shared" si="3"/>
        <v>189643.3</v>
      </c>
      <c r="F34" s="204" t="s">
        <v>244</v>
      </c>
      <c r="G34" s="94">
        <f>IF(F34="Y",0,1)</f>
        <v>1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1</v>
      </c>
    </row>
    <row r="36" spans="2:10" ht="15" customHeight="1" x14ac:dyDescent="0.3">
      <c r="B36" s="5" t="s">
        <v>302</v>
      </c>
      <c r="C36" s="64">
        <f>48156+2340353</f>
        <v>2388509</v>
      </c>
      <c r="D36" s="65">
        <v>0.5</v>
      </c>
      <c r="E36" s="27">
        <f t="shared" si="3"/>
        <v>1194254.5</v>
      </c>
      <c r="F36" s="6"/>
      <c r="G36" s="6"/>
    </row>
    <row r="37" spans="2:10" ht="14" x14ac:dyDescent="0.3">
      <c r="B37" s="5" t="s">
        <v>303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0</v>
      </c>
      <c r="D38" s="65">
        <v>0.3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124</v>
      </c>
      <c r="C39" s="64">
        <v>4573</v>
      </c>
      <c r="D39" s="65">
        <v>0.95</v>
      </c>
      <c r="E39" s="27">
        <f t="shared" si="3"/>
        <v>4344.3499999999995</v>
      </c>
      <c r="F39" s="6"/>
      <c r="G39" s="6"/>
    </row>
    <row r="40" spans="2:10" ht="15" customHeight="1" x14ac:dyDescent="0.3">
      <c r="B40" s="5" t="s">
        <v>125</v>
      </c>
      <c r="C40" s="64">
        <v>469207</v>
      </c>
      <c r="D40" s="65">
        <v>0.1</v>
      </c>
      <c r="E40" s="27">
        <f t="shared" si="3"/>
        <v>46920.700000000004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8300205</v>
      </c>
      <c r="D42" s="14">
        <f>E42/C42</f>
        <v>0.66212586918033955</v>
      </c>
      <c r="E42" s="27">
        <f>SUM(E28:E40)</f>
        <v>5495780.4500000002</v>
      </c>
      <c r="F42" s="6"/>
      <c r="G42" s="6"/>
      <c r="H42" s="5" t="s">
        <v>127</v>
      </c>
      <c r="I42" s="64">
        <v>2060740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8689323</v>
      </c>
      <c r="D44" s="68">
        <f>IF(E44=0,0,E44/C44)</f>
        <v>0.90260037519608827</v>
      </c>
      <c r="E44" s="27">
        <f>E24+SUM(E28:E29)</f>
        <v>7842986.1999999993</v>
      </c>
      <c r="F44" s="6"/>
      <c r="G44" s="6"/>
      <c r="H44" s="66" t="s">
        <v>129</v>
      </c>
      <c r="I44" s="69">
        <f>E44/(I46-I15-I32)</f>
        <v>2.9855261680325449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11646590</v>
      </c>
      <c r="D45" s="68">
        <f>IF(E45=0,0,E45/C45)</f>
        <v>0.85902422940963841</v>
      </c>
      <c r="E45" s="27">
        <f>E44+(E25-E24)+SUM(E30:E33)</f>
        <v>10004703</v>
      </c>
      <c r="F45" s="6"/>
      <c r="G45" s="6"/>
      <c r="H45" s="66" t="s">
        <v>131</v>
      </c>
      <c r="I45" s="69">
        <f>E45/$I$46</f>
        <v>2.4805745781286417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14779798</v>
      </c>
      <c r="D46" s="14">
        <f>E46/C46</f>
        <v>0.77402044669352044</v>
      </c>
      <c r="E46" s="27">
        <f>E26+E42</f>
        <v>11439865.85</v>
      </c>
      <c r="F46" s="6"/>
      <c r="G46" s="6"/>
      <c r="H46" s="5" t="s">
        <v>133</v>
      </c>
      <c r="I46" s="155">
        <f>I26+I42</f>
        <v>4033220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P/B Approach</v>
      </c>
      <c r="E49" s="6"/>
    </row>
    <row r="50" spans="2:9" ht="14" x14ac:dyDescent="0.3">
      <c r="B50" s="5" t="s">
        <v>209</v>
      </c>
      <c r="C50" s="218">
        <f>D4</f>
        <v>100450</v>
      </c>
      <c r="D50" s="214">
        <f>IF(E50=0, 0,E50/C50)</f>
        <v>1.3322714638164086</v>
      </c>
      <c r="E50" s="218">
        <f>MAX(C50,C50*Dashboard!I10)</f>
        <v>133826.66854035825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44">
        <f>D53+D54+D55</f>
        <v>2627003</v>
      </c>
      <c r="E52" s="445"/>
      <c r="F52" s="53"/>
      <c r="G52" s="53"/>
    </row>
    <row r="53" spans="2:9" ht="14.5" thickTop="1" x14ac:dyDescent="0.3">
      <c r="B53" s="58" t="s">
        <v>236</v>
      </c>
      <c r="C53" s="6"/>
      <c r="D53" s="447">
        <f>SUM(I11:I13)+SUM(I28:I30)</f>
        <v>2627003</v>
      </c>
      <c r="E53" s="425"/>
      <c r="F53" s="5"/>
      <c r="G53" s="5"/>
      <c r="H53" s="3" t="s">
        <v>273</v>
      </c>
      <c r="I53" s="14">
        <f>D53/I3</f>
        <v>0.24675666120114281</v>
      </c>
    </row>
    <row r="54" spans="2:9" ht="14" x14ac:dyDescent="0.3">
      <c r="B54" s="58" t="s">
        <v>136</v>
      </c>
      <c r="C54" s="6"/>
      <c r="D54" s="452">
        <v>0</v>
      </c>
      <c r="E54" s="409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52">
        <v>0</v>
      </c>
      <c r="E55" s="409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46"/>
      <c r="E57" s="446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C14+C15+(C19*G19)+(C20*G20)+C29+C30+(C33*G33)+(C34*G34)+(C35*G35)</f>
        <v>6566634</v>
      </c>
      <c r="D58" s="129">
        <f>IF(E58=0,0,E58/C58)</f>
        <v>0.77590718471594422</v>
      </c>
      <c r="E58" s="221">
        <f>E14+E15+(E19*G19)+(E20*G20)+E29+E30+(E33*G33)+(E34*G34)+(E35*G35)</f>
        <v>5095098.5</v>
      </c>
      <c r="H58" s="6"/>
    </row>
    <row r="59" spans="2:9" ht="14" x14ac:dyDescent="0.3">
      <c r="B59" s="53" t="s">
        <v>91</v>
      </c>
      <c r="C59" s="213">
        <f>C11+C12+C28</f>
        <v>4228657</v>
      </c>
      <c r="D59" s="214">
        <f>IF(E59=0,0,E59/C59)</f>
        <v>1</v>
      </c>
      <c r="E59" s="215">
        <f>E11+E12+E28</f>
        <v>4228657</v>
      </c>
      <c r="F59" s="6"/>
      <c r="G59" s="6"/>
    </row>
    <row r="60" spans="2:9" ht="14" x14ac:dyDescent="0.3">
      <c r="B60" s="53" t="s">
        <v>140</v>
      </c>
      <c r="C60" s="6"/>
      <c r="D60" s="450">
        <f>((Dashboard!I6*Data!C4)+D52+E50-C58-C59)</f>
        <v>5592553.4349403586</v>
      </c>
      <c r="E60" s="451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442">
        <f>((C26-C11-C12-C14-C15-C16*G16-C19*G19-C20*G20)-I26)/Data!C7</f>
        <v>-0.86417172441551726</v>
      </c>
      <c r="E63" s="443"/>
    </row>
    <row r="64" spans="2:9" ht="15" customHeight="1" x14ac:dyDescent="0.3">
      <c r="B64" s="3" t="s">
        <v>267</v>
      </c>
      <c r="D64" s="448">
        <v>0.14829999999999999</v>
      </c>
      <c r="E64" s="449"/>
      <c r="F64" s="266" t="s">
        <v>252</v>
      </c>
    </row>
    <row r="65" spans="2:5" ht="15" customHeight="1" x14ac:dyDescent="0.3">
      <c r="B65" s="292" t="s">
        <v>269</v>
      </c>
      <c r="D65" s="448">
        <f>D64</f>
        <v>0.14829999999999999</v>
      </c>
      <c r="E65" s="44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D21" sqref="D21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251</v>
      </c>
      <c r="E3" s="278">
        <f>EOMONTH(EDATE(C3,12),0)</f>
        <v>44926</v>
      </c>
      <c r="F3" s="28" t="s">
        <v>251</v>
      </c>
      <c r="G3" s="278" t="str">
        <f>IF(G8="","",EOMONTH(EDATE(E3,12),0))</f>
        <v/>
      </c>
      <c r="H3" s="28"/>
      <c r="I3" s="278" t="str">
        <f>IF(I15="","",EOMONTH(EDATE(G3,12),0))</f>
        <v/>
      </c>
      <c r="J3" s="297"/>
      <c r="L3" s="72" t="s">
        <v>141</v>
      </c>
    </row>
    <row r="4" spans="1:13" ht="15.75" customHeight="1" x14ac:dyDescent="0.3">
      <c r="B4" s="293" t="s">
        <v>309</v>
      </c>
      <c r="C4" s="294">
        <v>613322</v>
      </c>
      <c r="D4" s="260">
        <f>C4/C7</f>
        <v>0.51322685352932262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310</v>
      </c>
      <c r="C5" s="294">
        <v>558465</v>
      </c>
      <c r="D5" s="260">
        <f>C5/C7</f>
        <v>0.46732260502028816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293" t="s">
        <v>311</v>
      </c>
      <c r="C6" s="294">
        <v>23244</v>
      </c>
      <c r="D6" s="260">
        <f>C6/C7</f>
        <v>1.9450541450389155E-2</v>
      </c>
      <c r="E6" s="294"/>
      <c r="F6" s="260"/>
      <c r="G6" s="222"/>
      <c r="H6" s="260"/>
      <c r="I6" s="222"/>
      <c r="J6" s="287"/>
      <c r="K6" s="6"/>
      <c r="L6" s="74"/>
      <c r="M6" s="57"/>
    </row>
    <row r="7" spans="1:13" ht="15.75" customHeight="1" x14ac:dyDescent="0.3">
      <c r="B7" s="5" t="s">
        <v>143</v>
      </c>
      <c r="C7" s="180">
        <f>SUM(C4:C6)</f>
        <v>1195031</v>
      </c>
      <c r="D7" s="259"/>
      <c r="E7" s="338">
        <f>C7*1.445</f>
        <v>1726819.7950000002</v>
      </c>
      <c r="F7" s="259"/>
      <c r="G7" s="338"/>
      <c r="H7" s="259"/>
      <c r="I7" s="228"/>
      <c r="J7" s="288"/>
      <c r="K7" s="6"/>
      <c r="L7" s="74" t="s">
        <v>270</v>
      </c>
      <c r="M7" s="57"/>
    </row>
    <row r="8" spans="1:13" ht="15.75" customHeight="1" x14ac:dyDescent="0.3">
      <c r="B8" s="17" t="s">
        <v>142</v>
      </c>
      <c r="C8" s="187"/>
      <c r="D8" s="261"/>
      <c r="E8" s="18">
        <f>E7/C7-1</f>
        <v>0.44500000000000006</v>
      </c>
      <c r="F8" s="261"/>
      <c r="G8" s="73"/>
      <c r="H8" s="261"/>
      <c r="I8" s="73"/>
      <c r="J8" s="328"/>
      <c r="K8" s="6"/>
      <c r="L8" s="74"/>
      <c r="M8" s="57"/>
    </row>
    <row r="9" spans="1:13" ht="15.75" customHeight="1" x14ac:dyDescent="0.3">
      <c r="B9" s="8" t="s">
        <v>144</v>
      </c>
      <c r="C9" s="181">
        <f>Data!C9</f>
        <v>647828</v>
      </c>
      <c r="D9" s="262"/>
      <c r="E9" s="227">
        <f>E7*(1-E10)</f>
        <v>936111.46000000008</v>
      </c>
      <c r="F9" s="262"/>
      <c r="G9" s="282" t="str">
        <f>IF(G7="","",G7*(1-G10))</f>
        <v/>
      </c>
      <c r="H9" s="262"/>
      <c r="I9" s="282" t="str">
        <f>IF(I7="","",I7*(1-I10))</f>
        <v/>
      </c>
      <c r="J9" s="329"/>
      <c r="K9" s="6"/>
      <c r="L9" s="116"/>
      <c r="M9" s="1"/>
    </row>
    <row r="10" spans="1:13" ht="15.75" customHeight="1" x14ac:dyDescent="0.3">
      <c r="B10" s="17" t="s">
        <v>48</v>
      </c>
      <c r="C10" s="186">
        <f>(C7-C9)/C7</f>
        <v>0.45789858171043263</v>
      </c>
      <c r="D10" s="186"/>
      <c r="E10" s="73">
        <f>C10</f>
        <v>0.45789858171043263</v>
      </c>
      <c r="F10" s="186"/>
      <c r="G10" s="73"/>
      <c r="H10" s="186"/>
      <c r="I10" s="73"/>
      <c r="J10" s="330"/>
      <c r="K10" s="6"/>
      <c r="L10" s="74"/>
    </row>
    <row r="11" spans="1:13" ht="15.75" customHeight="1" x14ac:dyDescent="0.3">
      <c r="B11" s="5" t="s">
        <v>145</v>
      </c>
      <c r="C11" s="27">
        <f>C7-C9</f>
        <v>547203</v>
      </c>
      <c r="D11" s="27"/>
      <c r="E11" s="27">
        <f>E7-E9</f>
        <v>790708.33500000008</v>
      </c>
      <c r="F11" s="27"/>
      <c r="G11" s="27" t="str">
        <f>IF(G8="","",G7-G9)</f>
        <v/>
      </c>
      <c r="H11" s="27"/>
      <c r="I11" s="27" t="str">
        <f>IF(I8="","",I7-I9)</f>
        <v/>
      </c>
      <c r="J11" s="242"/>
      <c r="K11" s="6"/>
      <c r="L11" s="74"/>
    </row>
    <row r="12" spans="1:13" ht="15.75" customHeight="1" x14ac:dyDescent="0.3">
      <c r="B12" s="17" t="s">
        <v>50</v>
      </c>
      <c r="C12" s="189">
        <f>C13/C7</f>
        <v>0.28715070989790226</v>
      </c>
      <c r="D12" s="189"/>
      <c r="E12" s="226">
        <v>0.25</v>
      </c>
      <c r="F12" s="189"/>
      <c r="G12" s="65"/>
      <c r="H12" s="189"/>
      <c r="I12" s="65"/>
      <c r="J12" s="331"/>
      <c r="K12" s="6"/>
      <c r="L12" s="74"/>
    </row>
    <row r="13" spans="1:13" ht="15.75" customHeight="1" x14ac:dyDescent="0.3">
      <c r="B13" s="8" t="s">
        <v>146</v>
      </c>
      <c r="C13" s="183">
        <f>343154</f>
        <v>343154</v>
      </c>
      <c r="D13" s="263"/>
      <c r="E13" s="76">
        <f>E7*E12</f>
        <v>431704.94875000004</v>
      </c>
      <c r="F13" s="263"/>
      <c r="G13" s="76"/>
      <c r="H13" s="263"/>
      <c r="I13" s="76"/>
      <c r="J13" s="332"/>
      <c r="K13" s="6"/>
      <c r="L13" s="74"/>
    </row>
    <row r="14" spans="1:13" ht="15.75" customHeight="1" x14ac:dyDescent="0.3">
      <c r="B14" s="17" t="s">
        <v>51</v>
      </c>
      <c r="C14" s="18">
        <f>C16/C7</f>
        <v>0.1707478718125304</v>
      </c>
      <c r="D14" s="18"/>
      <c r="E14" s="18">
        <f>E16/E7</f>
        <v>0.20789858171043263</v>
      </c>
      <c r="F14" s="18"/>
      <c r="G14" s="18" t="str">
        <f>IF(G8="","",G16/G7)</f>
        <v/>
      </c>
      <c r="H14" s="18"/>
      <c r="I14" s="18" t="str">
        <f>IF(I8="","",I16/I7)</f>
        <v/>
      </c>
      <c r="J14" s="231"/>
      <c r="K14" s="6"/>
      <c r="L14" s="74"/>
      <c r="M14" s="57"/>
    </row>
    <row r="15" spans="1:13" ht="15.75" customHeight="1" x14ac:dyDescent="0.3">
      <c r="B15" s="17" t="s">
        <v>147</v>
      </c>
      <c r="C15" s="188"/>
      <c r="D15" s="264"/>
      <c r="E15" s="14">
        <f>IF(ABS(C16+E16)=ABS(C16)+ABS(E16),IF(E16&lt;0,-1,1)*(E16-C16)/C16,"Turn")</f>
        <v>0.75939792035246456</v>
      </c>
      <c r="F15" s="264"/>
      <c r="G15" s="14" t="str">
        <f>IF(G8="","",IF(ABS(E16+G16)=ABS(E16)+ABS(G16),IF(G16&lt;0,-1,1)*(G16-E16)/E16,"Turn"))</f>
        <v/>
      </c>
      <c r="H15" s="264"/>
      <c r="I15" s="14" t="str">
        <f>IF(I8="","",IF(ABS(G16+I16)=ABS(G16)+ABS(I16),IF(I16&lt;0,-1,1)*(I16-G16)/G16,"Turn"))</f>
        <v/>
      </c>
      <c r="J15" s="333"/>
      <c r="K15" s="6"/>
      <c r="L15" s="77"/>
      <c r="M15" s="78"/>
    </row>
    <row r="16" spans="1:13" ht="15.75" customHeight="1" x14ac:dyDescent="0.3">
      <c r="B16" s="134" t="s">
        <v>247</v>
      </c>
      <c r="C16" s="320">
        <f>C11-C13</f>
        <v>204049</v>
      </c>
      <c r="D16" s="321"/>
      <c r="E16" s="320">
        <f>E11-E13</f>
        <v>359003.38625000004</v>
      </c>
      <c r="F16" s="321"/>
      <c r="G16" s="320" t="str">
        <f>IF(G8="","",G11-G13)</f>
        <v/>
      </c>
      <c r="H16" s="321"/>
      <c r="I16" s="320" t="str">
        <f>IF(I8="","",I11-I13)</f>
        <v/>
      </c>
      <c r="J16" s="334"/>
      <c r="K16" s="6"/>
      <c r="L16" s="79"/>
      <c r="M16" s="56"/>
    </row>
    <row r="17" spans="2:10" ht="15.75" customHeight="1" x14ac:dyDescent="0.3">
      <c r="B17" s="316" t="s">
        <v>148</v>
      </c>
      <c r="C17" s="317">
        <v>0.25</v>
      </c>
      <c r="D17" s="318"/>
      <c r="E17" s="319">
        <f>IF(E16="","",C17)</f>
        <v>0.25</v>
      </c>
      <c r="F17" s="319"/>
      <c r="G17" s="319" t="str">
        <f>IF(G16="","",E17)</f>
        <v/>
      </c>
      <c r="H17" s="319"/>
      <c r="I17" s="319" t="str">
        <f>IF(I16="","",G17)</f>
        <v/>
      </c>
      <c r="J17" s="335"/>
    </row>
    <row r="18" spans="2:10" ht="15.75" customHeight="1" x14ac:dyDescent="0.3">
      <c r="B18" s="325" t="s">
        <v>305</v>
      </c>
      <c r="C18" s="264">
        <f>C19/C9</f>
        <v>0.23623052723871152</v>
      </c>
      <c r="D18" s="327"/>
      <c r="E18" s="326">
        <f>E19/E9</f>
        <v>0.28762871857962302</v>
      </c>
      <c r="F18" s="326"/>
      <c r="G18" s="326" t="str">
        <f>IF(G9="","",G19/G9)</f>
        <v/>
      </c>
      <c r="H18" s="326"/>
      <c r="I18" s="326" t="str">
        <f>IF(I9="","",I19/I9)</f>
        <v/>
      </c>
      <c r="J18" s="336"/>
    </row>
    <row r="19" spans="2:10" ht="15.75" customHeight="1" x14ac:dyDescent="0.3">
      <c r="B19" s="322" t="s">
        <v>80</v>
      </c>
      <c r="C19" s="323">
        <f>IF(C16&lt;=0,C16,C16*(1-C17))</f>
        <v>153036.75</v>
      </c>
      <c r="D19" s="323"/>
      <c r="E19" s="324">
        <f>IF(E16="","",IF(E16&lt;=0,E16,E16*(1-E17)))</f>
        <v>269252.53968750004</v>
      </c>
      <c r="F19" s="323"/>
      <c r="G19" s="324" t="str">
        <f>IF(G16="","",IF(G16&lt;=0,G16,G16*(1-G17)))</f>
        <v/>
      </c>
      <c r="H19" s="323"/>
      <c r="I19" s="324" t="str">
        <f>IF(I16="","",IF(I16&lt;=0,I16,I16*(1-I17)))</f>
        <v/>
      </c>
      <c r="J19" s="337"/>
    </row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</sheetData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9:H12 G14:H16 G8:I8 H13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27" sqref="B2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Operation!C19</f>
        <v>153036.75</v>
      </c>
      <c r="D4" s="45">
        <f>Operation!E19</f>
        <v>269252.53968750004</v>
      </c>
      <c r="E4" s="45" t="str">
        <f>Operation!G19</f>
        <v/>
      </c>
      <c r="F4" s="201" t="str">
        <f>Operation!I19</f>
        <v/>
      </c>
      <c r="G4" s="304">
        <f>IF(F3="",IF(E3="",1,2),3)</f>
        <v>1</v>
      </c>
      <c r="H4" s="6"/>
      <c r="I4" s="350"/>
      <c r="J4" s="56"/>
    </row>
    <row r="5" spans="1:10" ht="15.75" customHeight="1" x14ac:dyDescent="0.3">
      <c r="B5" s="17" t="s">
        <v>277</v>
      </c>
      <c r="C5" s="257"/>
      <c r="D5" s="258">
        <f>D4/C4-1</f>
        <v>0.75939792035246456</v>
      </c>
      <c r="E5" s="258" t="str">
        <f>IF(E4="","",E4/D4-1)</f>
        <v/>
      </c>
      <c r="F5" s="258" t="str">
        <f>IF(F4="","",F4/E4-1)</f>
        <v/>
      </c>
      <c r="G5" s="198"/>
      <c r="H5" s="6"/>
      <c r="I5" s="350"/>
      <c r="J5" s="56"/>
    </row>
    <row r="6" spans="1:10" ht="15.75" customHeight="1" x14ac:dyDescent="0.3">
      <c r="B6" s="17" t="s">
        <v>68</v>
      </c>
      <c r="C6" s="65">
        <v>0.35</v>
      </c>
      <c r="D6" s="226">
        <v>0.35</v>
      </c>
      <c r="E6" s="65"/>
      <c r="F6" s="309"/>
      <c r="G6" s="199"/>
      <c r="H6" s="6"/>
      <c r="I6" s="351"/>
    </row>
    <row r="7" spans="1:10" ht="15" customHeight="1" thickBot="1" x14ac:dyDescent="0.35">
      <c r="B7" s="81" t="s">
        <v>271</v>
      </c>
      <c r="C7" s="310">
        <f>C4*C6</f>
        <v>53562.862499999996</v>
      </c>
      <c r="D7" s="310">
        <f>D4*D6</f>
        <v>94238.388890625007</v>
      </c>
      <c r="E7" s="311"/>
      <c r="F7" s="311"/>
      <c r="G7" s="200"/>
      <c r="H7" s="82"/>
      <c r="I7" s="350"/>
      <c r="J7" s="56"/>
    </row>
    <row r="8" spans="1:10" ht="15.75" customHeight="1" thickTop="1" x14ac:dyDescent="0.3">
      <c r="B8" s="17" t="s">
        <v>149</v>
      </c>
      <c r="C8" s="192">
        <f>IF(C4="","",C4-C7)</f>
        <v>99473.887500000012</v>
      </c>
      <c r="D8" s="191">
        <f>D4-D7</f>
        <v>175014.15079687504</v>
      </c>
      <c r="E8" s="191" t="str">
        <f>IF(E4="","",E4-E7)</f>
        <v/>
      </c>
      <c r="F8" s="191" t="str">
        <f>IF(F4="","",F4-F7)</f>
        <v/>
      </c>
      <c r="G8" s="229">
        <f>IF(F4="",IF(E4="",D8,E8),F8)</f>
        <v>175014.15079687504</v>
      </c>
      <c r="H8" s="82"/>
      <c r="I8" s="350"/>
      <c r="J8" s="56"/>
    </row>
    <row r="9" spans="1:10" ht="15.75" customHeight="1" x14ac:dyDescent="0.3">
      <c r="B9" s="203" t="s">
        <v>218</v>
      </c>
      <c r="C9" s="193">
        <f>C8/(Common_Shares/Data!$C$4)</f>
        <v>1.3212558983860647E-2</v>
      </c>
      <c r="D9" s="306">
        <f>D8/(Common_Shares/Data!$C$4)</f>
        <v>2.3246148798738694E-2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2.3246148798738694E-2</v>
      </c>
      <c r="H9" s="82"/>
      <c r="I9" s="350"/>
      <c r="J9" s="56"/>
    </row>
    <row r="10" spans="1:10" ht="15.75" customHeight="1" x14ac:dyDescent="0.3">
      <c r="B10" s="234" t="s">
        <v>248</v>
      </c>
      <c r="C10" s="312">
        <f>C11/C9</f>
        <v>7.2658142996572845</v>
      </c>
      <c r="D10" s="312">
        <f>D11/D9</f>
        <v>5.312707970220897</v>
      </c>
      <c r="E10" s="346"/>
      <c r="F10" s="346"/>
      <c r="G10" s="235"/>
      <c r="H10" s="82"/>
      <c r="I10" s="350" t="s">
        <v>316</v>
      </c>
      <c r="J10" s="56"/>
    </row>
    <row r="11" spans="1:10" ht="15.75" customHeight="1" x14ac:dyDescent="0.3">
      <c r="B11" s="234" t="s">
        <v>262</v>
      </c>
      <c r="C11" s="284">
        <f>0.0411+0.0549</f>
        <v>9.6000000000000002E-2</v>
      </c>
      <c r="D11" s="285">
        <f>0.0137*2+0.0412+0.0549</f>
        <v>0.1235</v>
      </c>
      <c r="E11" s="347"/>
      <c r="F11" s="347"/>
      <c r="G11" s="283"/>
      <c r="H11" s="82"/>
      <c r="I11" s="350"/>
      <c r="J11" s="56"/>
    </row>
    <row r="12" spans="1:10" ht="15.75" customHeight="1" x14ac:dyDescent="0.3">
      <c r="B12" s="19" t="s">
        <v>278</v>
      </c>
      <c r="C12" s="236">
        <v>0</v>
      </c>
      <c r="D12" s="236">
        <f>D11</f>
        <v>0.1235</v>
      </c>
      <c r="E12" s="348"/>
      <c r="F12" s="348"/>
      <c r="G12" s="230">
        <f>G9*D26</f>
        <v>0.58115371996846732</v>
      </c>
      <c r="H12" s="82"/>
      <c r="I12" s="350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351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351"/>
      <c r="J14" s="57"/>
    </row>
    <row r="15" spans="1:10" ht="15.75" customHeight="1" thickTop="1" x14ac:dyDescent="0.3">
      <c r="B15" s="8" t="s">
        <v>301</v>
      </c>
      <c r="C15" s="237">
        <f>C12</f>
        <v>0</v>
      </c>
      <c r="D15" s="195">
        <f ca="1">IF(D12="","",MAX(D9-D11,D12)/D14)</f>
        <v>0.11435185185185184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0.49824564469175864</v>
      </c>
      <c r="H15" s="80"/>
      <c r="I15" s="350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1000HKD)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4228657</v>
      </c>
      <c r="D18" s="219">
        <f>C18/(Dashboard!I5/Data!C4)</f>
        <v>0.56166881016905268</v>
      </c>
      <c r="E18" s="85" t="s">
        <v>238</v>
      </c>
      <c r="G18" s="137">
        <f>C18+C19+C20+C21</f>
        <v>6562925.8314596415</v>
      </c>
    </row>
    <row r="19" spans="1:9" ht="15.75" customHeight="1" x14ac:dyDescent="0.3">
      <c r="B19" s="58" t="s">
        <v>245</v>
      </c>
      <c r="C19" s="84">
        <f>Asset_Model!E58</f>
        <v>5095098.5</v>
      </c>
      <c r="D19" s="219">
        <f>C19/(Dashboard!I5/Data!C4)</f>
        <v>0.6767533787179062</v>
      </c>
      <c r="E19" s="85" t="s">
        <v>239</v>
      </c>
      <c r="G19" s="197">
        <f>(G18+MIN(D4,0))*Data!C$4/Dashboard!I5</f>
        <v>0.87171665684487487</v>
      </c>
    </row>
    <row r="20" spans="1:9" ht="15.75" customHeight="1" x14ac:dyDescent="0.3">
      <c r="B20" s="58" t="s">
        <v>223</v>
      </c>
      <c r="C20" s="84">
        <f>-Asset_Model!D52</f>
        <v>-2627003</v>
      </c>
      <c r="D20" s="219">
        <f>C20/(Dashboard!I5/Data!C4)</f>
        <v>-0.34893008567981088</v>
      </c>
      <c r="E20" s="455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-133826.66854035825</v>
      </c>
      <c r="D21" s="219">
        <f>C21/(Dashboard!I5/Data!C4)</f>
        <v>-1.7775446362273226E-2</v>
      </c>
      <c r="E21" s="455"/>
      <c r="F21" s="148">
        <f>D18</f>
        <v>0.56166881016905268</v>
      </c>
      <c r="G21" s="147">
        <f>SUM(D19:D21)</f>
        <v>0.31004784667582208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1000HKD)</v>
      </c>
      <c r="E23" s="458" t="s">
        <v>231</v>
      </c>
      <c r="F23" s="458"/>
      <c r="G23" s="458"/>
    </row>
    <row r="24" spans="1:9" ht="15.75" customHeight="1" x14ac:dyDescent="0.3">
      <c r="B24" s="127" t="str">
        <f>"Exit after Year "&amp;G4</f>
        <v>Exit after Year 1</v>
      </c>
      <c r="C24" s="127" t="s">
        <v>227</v>
      </c>
      <c r="D24" s="202" t="s">
        <v>220</v>
      </c>
      <c r="E24" s="305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299</v>
      </c>
      <c r="C25" s="14">
        <f>1/D25</f>
        <v>6.6666666666666666E-2</v>
      </c>
      <c r="D25" s="298">
        <v>15</v>
      </c>
      <c r="E25" s="206">
        <f ca="1">G9*D25/G14</f>
        <v>0.29894738681505517</v>
      </c>
      <c r="F25" s="456">
        <f ca="1">SUM(C15:F15)</f>
        <v>0.11435185185185184</v>
      </c>
      <c r="G25" s="206">
        <f ca="1">$F$25+E25+$G$19</f>
        <v>1.2850158955117819</v>
      </c>
      <c r="I25" s="74" t="s">
        <v>319</v>
      </c>
    </row>
    <row r="26" spans="1:9" ht="15.75" customHeight="1" x14ac:dyDescent="0.3">
      <c r="B26" s="302" t="s">
        <v>300</v>
      </c>
      <c r="C26" s="303">
        <f t="shared" ref="C26" si="0">1/D26</f>
        <v>0.04</v>
      </c>
      <c r="D26" s="315">
        <v>25</v>
      </c>
      <c r="E26" s="207">
        <f ca="1">G9*D26/G14</f>
        <v>0.49824564469175864</v>
      </c>
      <c r="F26" s="457"/>
      <c r="G26" s="207">
        <f ca="1">$F$25+E26+$G$19</f>
        <v>1.4843141533884854</v>
      </c>
      <c r="I26" s="74" t="s">
        <v>318</v>
      </c>
    </row>
    <row r="27" spans="1:9" ht="15.75" customHeight="1" x14ac:dyDescent="0.3">
      <c r="B27" s="30"/>
      <c r="C27" s="356"/>
      <c r="D27" s="357"/>
      <c r="E27" s="123"/>
      <c r="F27" s="124"/>
      <c r="G27" s="123"/>
      <c r="I27" s="74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152</v>
      </c>
      <c r="C30" s="252">
        <f ca="1">MIN(Asset_Model!D7,G25*Exchange_Rate)+(ABS(Asset_Model!D7-G25*Exchange_Rate)*'Qualitative Analysis'!E8)</f>
        <v>1.1287019345859817</v>
      </c>
      <c r="D30" s="23" t="str">
        <f ca="1">IF(C30&lt;E30,"&lt;",IF(C30=E30,"=","&gt;"))</f>
        <v>&lt;</v>
      </c>
      <c r="E30" s="251">
        <f ca="1">G26*Exchange_Rate</f>
        <v>1.4843141533884854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3" t="s">
        <v>153</v>
      </c>
      <c r="D32" s="454"/>
      <c r="E32" s="30" t="s">
        <v>219</v>
      </c>
      <c r="F32" s="30" t="s">
        <v>18</v>
      </c>
      <c r="G32" s="30"/>
      <c r="H32" s="6"/>
    </row>
    <row r="33" spans="2:9" ht="15.75" customHeight="1" x14ac:dyDescent="0.3">
      <c r="B33" s="256" t="s">
        <v>233</v>
      </c>
      <c r="C33" s="253">
        <f ca="1">MIN(C30,E30)+ABS(C30-E30)*'Qualitative Analysis'!$E$64</f>
        <v>1.378685833533126</v>
      </c>
      <c r="D33" s="119" t="str">
        <f>Dashboard!J4</f>
        <v>HKD</v>
      </c>
      <c r="E33" s="120">
        <f ca="1">(C33-G19)/C9</f>
        <v>38.37024889028099</v>
      </c>
      <c r="F33" s="158">
        <f ca="1">C33/(Data!C28*Exchange_Rate*Data!C4/Common_Shares)</f>
        <v>1.0147976760133277</v>
      </c>
      <c r="G33" s="87"/>
      <c r="H33" s="6"/>
      <c r="I33" s="74"/>
    </row>
    <row r="34" spans="2:9" ht="15.75" customHeight="1" x14ac:dyDescent="0.3">
      <c r="B34" s="255" t="s">
        <v>232</v>
      </c>
      <c r="C34" s="254">
        <f ca="1">MAX(Asset_Model!D7,(G12/(1+G34)^G4+F25+G19)*Exchange_Rate)</f>
        <v>1.527179979803307</v>
      </c>
      <c r="D34" s="208" t="str">
        <f>D33</f>
        <v>HKD</v>
      </c>
      <c r="E34" s="120">
        <f ca="1">(C34-G19)/C9</f>
        <v>49.609112342211006</v>
      </c>
      <c r="F34" s="158">
        <f ca="1">C34/(Data!C28*Exchange_Rate*Data!C4/Common_Shares)</f>
        <v>1.1240985122672182</v>
      </c>
      <c r="G34" s="281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1" sqref="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282</v>
      </c>
      <c r="C3" s="96"/>
      <c r="D3" s="94">
        <f>IF(E3="Strongly disagree",0,IF(E3="disagree",1,IF(E3="unclear",2,IF(E3="agree",3,4))))</f>
        <v>0</v>
      </c>
      <c r="E3" s="31" t="s">
        <v>178</v>
      </c>
      <c r="G3" s="79" t="s">
        <v>312</v>
      </c>
    </row>
    <row r="4" spans="1:7" ht="14" x14ac:dyDescent="0.3">
      <c r="B4" s="6" t="s">
        <v>284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4" x14ac:dyDescent="0.3">
      <c r="B5" s="6" t="s">
        <v>279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280</v>
      </c>
      <c r="C6" s="96"/>
      <c r="D6" s="94">
        <f>AVERAGE(D24:D28)</f>
        <v>2.4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281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157</v>
      </c>
      <c r="C8" s="96"/>
      <c r="D8" s="94">
        <f>AVERAGE(D3:D7)</f>
        <v>2.04</v>
      </c>
      <c r="E8" s="98">
        <f>D8/4</f>
        <v>0.51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283</v>
      </c>
      <c r="D12" s="100">
        <f>IF(E12="Strongly disagree",0,IF(E12="disagree",1,IF(E12="unclear",2,IF(E12="agree",3,4))))</f>
        <v>2</v>
      </c>
      <c r="E12" s="31" t="s">
        <v>155</v>
      </c>
      <c r="F12" s="6"/>
      <c r="G12" s="295"/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5" t="s">
        <v>313</v>
      </c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2</v>
      </c>
      <c r="E15" s="31" t="s">
        <v>155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304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5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/>
    </row>
    <row r="20" spans="2:7" ht="15" customHeight="1" x14ac:dyDescent="0.3">
      <c r="B20" s="53" t="s">
        <v>168</v>
      </c>
      <c r="D20" s="100">
        <f t="shared" si="1"/>
        <v>4</v>
      </c>
      <c r="E20" s="31" t="s">
        <v>165</v>
      </c>
      <c r="F20" s="6"/>
      <c r="G20" s="295"/>
    </row>
    <row r="21" spans="2:7" ht="15" customHeight="1" x14ac:dyDescent="0.3">
      <c r="B21" s="53" t="s">
        <v>169</v>
      </c>
      <c r="D21" s="100">
        <f t="shared" si="1"/>
        <v>3</v>
      </c>
      <c r="E21" s="31" t="s">
        <v>156</v>
      </c>
      <c r="F21" s="6"/>
      <c r="G21" s="295"/>
    </row>
    <row r="22" spans="2:7" ht="15" customHeight="1" x14ac:dyDescent="0.3">
      <c r="B22" s="53" t="s">
        <v>170</v>
      </c>
      <c r="D22" s="100">
        <f t="shared" si="1"/>
        <v>2</v>
      </c>
      <c r="E22" s="31" t="s">
        <v>155</v>
      </c>
      <c r="F22" s="6"/>
      <c r="G22" s="295"/>
    </row>
    <row r="23" spans="2:7" ht="15" customHeight="1" x14ac:dyDescent="0.3">
      <c r="B23" s="99" t="s">
        <v>171</v>
      </c>
      <c r="D23" s="38"/>
      <c r="E23" s="23"/>
      <c r="G23" s="295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1</v>
      </c>
      <c r="E24" s="31" t="s">
        <v>163</v>
      </c>
      <c r="F24" s="6"/>
      <c r="G24" s="295"/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5"/>
    </row>
    <row r="26" spans="2:7" ht="15" customHeight="1" x14ac:dyDescent="0.3">
      <c r="B26" s="53" t="s">
        <v>285</v>
      </c>
      <c r="D26" s="100">
        <f t="shared" si="2"/>
        <v>2</v>
      </c>
      <c r="E26" s="31" t="s">
        <v>155</v>
      </c>
      <c r="F26" s="6"/>
      <c r="G26" s="295"/>
    </row>
    <row r="27" spans="2:7" ht="15" customHeight="1" x14ac:dyDescent="0.3">
      <c r="B27" s="53" t="s">
        <v>286</v>
      </c>
      <c r="D27" s="100">
        <f t="shared" si="2"/>
        <v>3</v>
      </c>
      <c r="E27" s="31" t="s">
        <v>156</v>
      </c>
      <c r="F27" s="6"/>
      <c r="G27" s="295"/>
    </row>
    <row r="28" spans="2:7" ht="15" customHeight="1" x14ac:dyDescent="0.3">
      <c r="B28" s="53" t="s">
        <v>174</v>
      </c>
      <c r="D28" s="100">
        <f t="shared" si="2"/>
        <v>3</v>
      </c>
      <c r="E28" s="31" t="s">
        <v>156</v>
      </c>
      <c r="F28" s="6"/>
      <c r="G28" s="295"/>
    </row>
    <row r="29" spans="2:7" ht="15" customHeight="1" x14ac:dyDescent="0.3">
      <c r="B29" s="99" t="s">
        <v>175</v>
      </c>
      <c r="D29" s="38"/>
      <c r="E29" s="23"/>
      <c r="G29" s="295"/>
    </row>
    <row r="30" spans="2:7" ht="15" customHeight="1" x14ac:dyDescent="0.3">
      <c r="B30" s="1" t="s">
        <v>176</v>
      </c>
      <c r="D30" s="103">
        <f>SUM(D31:D35)/(5*4)</f>
        <v>0.2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5"/>
    </row>
    <row r="32" spans="2:7" ht="15" customHeight="1" x14ac:dyDescent="0.3">
      <c r="B32" s="53" t="s">
        <v>287</v>
      </c>
      <c r="D32" s="100">
        <f t="shared" si="3"/>
        <v>1</v>
      </c>
      <c r="E32" s="31" t="s">
        <v>163</v>
      </c>
      <c r="F32" s="6"/>
      <c r="G32" s="295"/>
    </row>
    <row r="33" spans="2:7" ht="15" customHeight="1" x14ac:dyDescent="0.3">
      <c r="B33" s="53" t="s">
        <v>288</v>
      </c>
      <c r="D33" s="100">
        <f t="shared" si="3"/>
        <v>1</v>
      </c>
      <c r="E33" s="31" t="s">
        <v>163</v>
      </c>
      <c r="F33" s="6"/>
      <c r="G33" s="295"/>
    </row>
    <row r="34" spans="2:7" ht="15" customHeight="1" x14ac:dyDescent="0.3">
      <c r="B34" s="53" t="s">
        <v>289</v>
      </c>
      <c r="D34" s="100">
        <f t="shared" si="3"/>
        <v>1</v>
      </c>
      <c r="E34" s="31" t="s">
        <v>163</v>
      </c>
      <c r="F34" s="6"/>
      <c r="G34" s="295"/>
    </row>
    <row r="35" spans="2:7" ht="15" customHeight="1" x14ac:dyDescent="0.3">
      <c r="B35" s="53" t="s">
        <v>306</v>
      </c>
      <c r="D35" s="100">
        <f t="shared" si="3"/>
        <v>1</v>
      </c>
      <c r="E35" s="31" t="s">
        <v>163</v>
      </c>
      <c r="G35" s="295" t="s">
        <v>313</v>
      </c>
    </row>
    <row r="36" spans="2:7" ht="15" customHeight="1" x14ac:dyDescent="0.3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5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5"/>
    </row>
    <row r="38" spans="2:7" ht="15" customHeight="1" x14ac:dyDescent="0.3">
      <c r="B38" s="53" t="s">
        <v>290</v>
      </c>
      <c r="D38" s="100">
        <f t="shared" si="4"/>
        <v>0</v>
      </c>
      <c r="E38" s="31" t="s">
        <v>178</v>
      </c>
      <c r="F38" s="6"/>
      <c r="G38" s="295"/>
    </row>
    <row r="39" spans="2:7" ht="15" customHeight="1" x14ac:dyDescent="0.3">
      <c r="B39" s="53" t="s">
        <v>291</v>
      </c>
      <c r="D39" s="100">
        <f t="shared" si="4"/>
        <v>0</v>
      </c>
      <c r="E39" s="31" t="s">
        <v>178</v>
      </c>
      <c r="F39" s="6"/>
      <c r="G39" s="295"/>
    </row>
    <row r="40" spans="2:7" ht="15" customHeight="1" x14ac:dyDescent="0.3">
      <c r="B40" s="53" t="s">
        <v>292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293</v>
      </c>
      <c r="D41" s="100">
        <f t="shared" si="4"/>
        <v>0</v>
      </c>
      <c r="E41" s="31" t="s">
        <v>178</v>
      </c>
      <c r="G41" s="295"/>
    </row>
    <row r="42" spans="2:7" ht="15" customHeight="1" x14ac:dyDescent="0.3">
      <c r="B42" s="1" t="s">
        <v>181</v>
      </c>
      <c r="D42" s="103">
        <f>SUM(D43:D48)/(6*4)</f>
        <v>0.125</v>
      </c>
      <c r="E42" s="49" t="str">
        <f>IF(D42&gt;80%,"Very High",IF(D42&lt;=20%,"Very Low",IF(D42&lt;=40%,"Low",IF(D42&lt;=60%,"Medium","High"))))</f>
        <v>Very Low</v>
      </c>
      <c r="F42" s="6"/>
      <c r="G42" s="295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5"/>
    </row>
    <row r="44" spans="2:7" ht="15" customHeight="1" x14ac:dyDescent="0.3">
      <c r="B44" s="53" t="s">
        <v>183</v>
      </c>
      <c r="D44" s="100">
        <f t="shared" si="5"/>
        <v>1</v>
      </c>
      <c r="E44" s="31" t="s">
        <v>163</v>
      </c>
      <c r="F44" s="6"/>
      <c r="G44" s="295"/>
    </row>
    <row r="45" spans="2:7" ht="15" customHeight="1" x14ac:dyDescent="0.3">
      <c r="B45" s="53" t="s">
        <v>184</v>
      </c>
      <c r="D45" s="100">
        <f t="shared" si="5"/>
        <v>1</v>
      </c>
      <c r="E45" s="31" t="s">
        <v>163</v>
      </c>
      <c r="F45" s="6"/>
      <c r="G45" s="295"/>
    </row>
    <row r="46" spans="2:7" ht="15" customHeight="1" x14ac:dyDescent="0.3">
      <c r="B46" s="53" t="s">
        <v>185</v>
      </c>
      <c r="D46" s="100">
        <f t="shared" si="5"/>
        <v>0</v>
      </c>
      <c r="E46" s="31" t="s">
        <v>178</v>
      </c>
      <c r="F46" s="6"/>
      <c r="G46" s="295"/>
    </row>
    <row r="47" spans="2:7" ht="15" customHeight="1" x14ac:dyDescent="0.3">
      <c r="B47" s="53" t="s">
        <v>186</v>
      </c>
      <c r="D47" s="100">
        <f t="shared" si="5"/>
        <v>0</v>
      </c>
      <c r="E47" s="31" t="s">
        <v>178</v>
      </c>
      <c r="F47" s="6"/>
      <c r="G47" s="295"/>
    </row>
    <row r="48" spans="2:7" ht="15" customHeight="1" x14ac:dyDescent="0.3">
      <c r="B48" s="53" t="s">
        <v>212</v>
      </c>
      <c r="D48" s="100">
        <f t="shared" si="5"/>
        <v>1</v>
      </c>
      <c r="E48" s="31" t="s">
        <v>163</v>
      </c>
      <c r="F48" s="6"/>
      <c r="G48" s="295"/>
    </row>
    <row r="49" spans="2:8" ht="15" customHeight="1" x14ac:dyDescent="0.3">
      <c r="B49" s="1" t="s">
        <v>187</v>
      </c>
      <c r="D49" s="103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95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5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5"/>
    </row>
    <row r="52" spans="2:8" ht="15" customHeight="1" x14ac:dyDescent="0.3">
      <c r="B52" s="53" t="s">
        <v>294</v>
      </c>
      <c r="D52" s="100">
        <f t="shared" si="6"/>
        <v>2</v>
      </c>
      <c r="E52" s="31" t="s">
        <v>155</v>
      </c>
      <c r="G52" s="295"/>
    </row>
    <row r="53" spans="2:8" ht="15" customHeight="1" x14ac:dyDescent="0.3">
      <c r="B53" s="53" t="s">
        <v>295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5"/>
      <c r="H53" s="53"/>
    </row>
    <row r="54" spans="2:8" ht="15" customHeight="1" x14ac:dyDescent="0.3">
      <c r="B54" s="53" t="s">
        <v>296</v>
      </c>
      <c r="D54" s="104">
        <f t="array" ref="D54">(1-INDEX(B68:E77,MATCH(E54,B68:B77,0),4))*4</f>
        <v>2.3129251700680271</v>
      </c>
      <c r="E54" s="31" t="s">
        <v>315</v>
      </c>
      <c r="F54" s="53"/>
      <c r="G54" s="295"/>
      <c r="H54" s="53"/>
    </row>
    <row r="55" spans="2:8" ht="15" customHeight="1" x14ac:dyDescent="0.3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5"/>
      <c r="H56" s="53"/>
    </row>
    <row r="57" spans="2:8" ht="15" customHeight="1" x14ac:dyDescent="0.3">
      <c r="B57" s="53" t="s">
        <v>192</v>
      </c>
      <c r="D57" s="100">
        <f t="shared" si="7"/>
        <v>0</v>
      </c>
      <c r="E57" s="31" t="s">
        <v>178</v>
      </c>
      <c r="F57" s="53"/>
      <c r="G57" s="295"/>
      <c r="H57" s="53"/>
    </row>
    <row r="58" spans="2:8" ht="15" customHeight="1" x14ac:dyDescent="0.3">
      <c r="B58" s="53" t="s">
        <v>213</v>
      </c>
      <c r="D58" s="100">
        <f t="shared" si="7"/>
        <v>2</v>
      </c>
      <c r="E58" s="31" t="s">
        <v>155</v>
      </c>
      <c r="F58" s="53"/>
      <c r="G58" s="295"/>
      <c r="H58" s="53"/>
    </row>
    <row r="59" spans="2:8" ht="15" customHeight="1" x14ac:dyDescent="0.3">
      <c r="B59" s="53" t="s">
        <v>214</v>
      </c>
      <c r="D59" s="100">
        <f t="shared" si="7"/>
        <v>3</v>
      </c>
      <c r="E59" s="31" t="s">
        <v>156</v>
      </c>
      <c r="F59" s="53"/>
      <c r="G59" s="295"/>
      <c r="H59" s="53"/>
    </row>
    <row r="60" spans="2:8" ht="15" customHeight="1" x14ac:dyDescent="0.3">
      <c r="B60" s="53" t="s">
        <v>215</v>
      </c>
      <c r="D60" s="100">
        <f t="shared" si="7"/>
        <v>3</v>
      </c>
      <c r="E60" s="31" t="s">
        <v>156</v>
      </c>
      <c r="F60" s="53"/>
      <c r="G60" s="295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1</v>
      </c>
      <c r="E61" s="31" t="s">
        <v>163</v>
      </c>
      <c r="F61" s="53"/>
      <c r="G61" s="295"/>
      <c r="H61" s="53"/>
    </row>
    <row r="62" spans="2:8" ht="15" customHeight="1" x14ac:dyDescent="0.3">
      <c r="B62" s="146" t="s">
        <v>193</v>
      </c>
      <c r="D62" s="126">
        <f>1-AVERAGE(D30,D36,D42,D49,D55)</f>
        <v>0.71187074829931973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194</v>
      </c>
      <c r="D64" s="94">
        <f>E64*4</f>
        <v>2.8118707482993197</v>
      </c>
      <c r="E64" s="125">
        <f>AVERAGE(AVERAGE(D12:D16)/4,AVERAGE(D18:D22)/4,AVERAGE(D24:D28)/4,D62)</f>
        <v>0.70296768707482993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2023-03-24T01:56:18Z</dcterms:modified>
  <cp:category/>
  <cp:contentStatus/>
</cp:coreProperties>
</file>