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97812BFF-8AF2-4B10-AF4E-72F2A7693A28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5" i="1"/>
  <c r="F42" i="1"/>
  <c r="E42" i="1" s="1"/>
  <c r="F40" i="1"/>
  <c r="F48" i="1" l="1"/>
  <c r="I36" i="1"/>
  <c r="B16" i="1"/>
  <c r="E6" i="7"/>
  <c r="E5" i="7"/>
  <c r="C13" i="7"/>
  <c r="E13" i="7" s="1"/>
  <c r="C7" i="7"/>
  <c r="D6" i="7" s="1"/>
  <c r="C36" i="3"/>
  <c r="C17" i="3"/>
  <c r="C36" i="1"/>
  <c r="E26" i="1"/>
  <c r="E7" i="3"/>
  <c r="E6" i="1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4" i="4"/>
  <c r="E16" i="1"/>
  <c r="D5" i="7" l="1"/>
  <c r="E7" i="7"/>
  <c r="E9" i="7" s="1"/>
  <c r="D4" i="7"/>
  <c r="D20" i="2"/>
  <c r="E20" i="2"/>
  <c r="F20" i="2"/>
  <c r="G20" i="2"/>
  <c r="H20" i="2"/>
  <c r="I20" i="2"/>
  <c r="J20" i="2"/>
  <c r="K20" i="2"/>
  <c r="L20" i="2"/>
  <c r="M20" i="2"/>
  <c r="C20" i="2"/>
  <c r="E12" i="7" l="1"/>
  <c r="G16" i="3"/>
  <c r="I9" i="7" l="1"/>
  <c r="I11" i="7" s="1"/>
  <c r="I16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4" i="7" l="1"/>
  <c r="I4" i="3" l="1"/>
  <c r="D4" i="3"/>
  <c r="D6" i="1"/>
  <c r="E9" i="3"/>
  <c r="C3" i="7" l="1"/>
  <c r="C29" i="4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10" i="7"/>
  <c r="C12" i="7"/>
  <c r="B3" i="7"/>
  <c r="C11" i="7"/>
  <c r="C16" i="7" s="1"/>
  <c r="C19" i="7" s="1"/>
  <c r="E8" i="7"/>
  <c r="C4" i="4" l="1"/>
  <c r="C7" i="4" s="1"/>
  <c r="C8" i="4" s="1"/>
  <c r="C9" i="4" s="1"/>
  <c r="C10" i="4" s="1"/>
  <c r="C18" i="7"/>
  <c r="I32" i="3"/>
  <c r="C14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1" i="7" l="1"/>
  <c r="E16" i="7" s="1"/>
  <c r="E17" i="7" s="1"/>
  <c r="E19" i="7" s="1"/>
  <c r="E18" i="7" s="1"/>
  <c r="G9" i="7"/>
  <c r="D52" i="3"/>
  <c r="C20" i="4" s="1"/>
  <c r="D20" i="4" s="1"/>
  <c r="I53" i="3"/>
  <c r="C44" i="3"/>
  <c r="C25" i="3"/>
  <c r="I7" i="3" s="1"/>
  <c r="E15" i="7" l="1"/>
  <c r="G11" i="7"/>
  <c r="G16" i="7" s="1"/>
  <c r="I15" i="7" s="1"/>
  <c r="I3" i="7" s="1"/>
  <c r="F3" i="4" s="1"/>
  <c r="G4" i="4" s="1"/>
  <c r="B24" i="4" s="1"/>
  <c r="G2" i="4" s="1"/>
  <c r="D4" i="4"/>
  <c r="E14" i="7"/>
  <c r="C45" i="3"/>
  <c r="E12" i="3"/>
  <c r="G15" i="7" l="1"/>
  <c r="G17" i="7"/>
  <c r="I17" i="7" s="1"/>
  <c r="I19" i="7" s="1"/>
  <c r="I18" i="7" s="1"/>
  <c r="G14" i="7"/>
  <c r="D7" i="4"/>
  <c r="D8" i="4" s="1"/>
  <c r="D9" i="4" s="1"/>
  <c r="D10" i="4" s="1"/>
  <c r="D5" i="4"/>
  <c r="D53" i="5"/>
  <c r="F4" i="4" l="1"/>
  <c r="F8" i="4" s="1"/>
  <c r="F9" i="4" s="1"/>
  <c r="G19" i="7"/>
  <c r="E4" i="4" s="1"/>
  <c r="E35" i="3"/>
  <c r="G18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G30" i="1"/>
  <c r="E30" i="1"/>
  <c r="I28" i="1"/>
  <c r="I6" i="1"/>
  <c r="C2" i="1"/>
  <c r="D63" i="3" l="1"/>
  <c r="C33" i="2" s="1"/>
  <c r="I6" i="3"/>
  <c r="E58" i="3"/>
  <c r="D58" i="3" s="1"/>
  <c r="D36" i="5"/>
  <c r="E33" i="2"/>
  <c r="E34" i="2" s="1"/>
  <c r="D6" i="5"/>
  <c r="D55" i="5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D33" i="2" l="1"/>
  <c r="D34" i="2" s="1"/>
  <c r="C34" i="2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C30" i="1" l="1"/>
  <c r="C35" i="1"/>
  <c r="B18" i="1" s="1"/>
  <c r="C31" i="1"/>
  <c r="I31" i="1" s="1"/>
  <c r="I32" i="1" s="1"/>
  <c r="I33" i="1" s="1"/>
  <c r="E20" i="4"/>
  <c r="J16" i="1"/>
  <c r="C27" i="1" l="1"/>
  <c r="I27" i="1" s="1"/>
  <c r="E32" i="1"/>
  <c r="E33" i="1" s="1"/>
  <c r="J10" i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C30" i="4" s="1"/>
  <c r="E27" i="4"/>
  <c r="G27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3" i="4" l="1"/>
  <c r="H14" i="1" s="1"/>
  <c r="B17" i="1" s="1"/>
  <c r="D30" i="4"/>
  <c r="D14" i="1"/>
  <c r="F46" i="1" s="1"/>
  <c r="F14" i="1"/>
  <c r="F49" i="1" l="1"/>
  <c r="E50" i="1" s="1"/>
  <c r="F50" i="1" s="1"/>
  <c r="E49" i="1"/>
  <c r="F33" i="4"/>
  <c r="D18" i="1"/>
  <c r="E33" i="4"/>
  <c r="D17" i="1" l="1"/>
  <c r="J25" i="1" s="1"/>
  <c r="D16" i="1"/>
  <c r="J17" i="1"/>
  <c r="F17" i="1"/>
</calcChain>
</file>

<file path=xl/sharedStrings.xml><?xml version="1.0" encoding="utf-8"?>
<sst xmlns="http://schemas.openxmlformats.org/spreadsheetml/2006/main" count="409" uniqueCount="345">
  <si>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</si>
  <si>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</si>
  <si>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</si>
  <si>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</si>
  <si>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</si>
  <si>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</si>
  <si>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</si>
  <si>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</si>
  <si>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</si>
  <si>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</si>
  <si>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</si>
  <si>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</si>
  <si>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</si>
  <si>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</si>
  <si>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</si>
  <si>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</si>
  <si>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</si>
  <si>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</si>
  <si>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</si>
  <si>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</si>
  <si>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</si>
  <si>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</si>
  <si>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</si>
  <si>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</si>
  <si>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</si>
  <si>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</si>
  <si>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</si>
  <si>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</si>
  <si>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</si>
  <si>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</si>
  <si>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</si>
  <si>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</si>
  <si>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</si>
  <si>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</si>
  <si>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</si>
  <si>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</si>
  <si>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</si>
  <si>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</si>
  <si>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</si>
  <si>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</si>
  <si>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</si>
  <si>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</si>
  <si>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</si>
  <si>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</si>
  <si>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</si>
  <si>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</si>
  <si>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</si>
  <si>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</si>
  <si>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</si>
  <si>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</si>
  <si>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</si>
  <si>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</si>
  <si>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</si>
  <si>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</si>
  <si>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</si>
  <si>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</si>
  <si>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</si>
  <si>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</si>
  <si>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</si>
  <si>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</si>
  <si>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</si>
  <si>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</si>
  <si>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</si>
  <si>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</si>
  <si>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</si>
  <si>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</si>
  <si>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</si>
  <si>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</si>
  <si>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</si>
  <si>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</si>
  <si>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</si>
  <si>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</si>
  <si>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</si>
  <si>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</si>
  <si>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</si>
  <si>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</si>
  <si>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</si>
  <si>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</si>
  <si>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</si>
  <si>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</si>
  <si>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</si>
  <si>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</si>
  <si>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</si>
  <si>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</si>
  <si>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</si>
  <si>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</si>
  <si>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</si>
  <si>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</si>
  <si>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</si>
  <si>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</si>
  <si>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</si>
  <si>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</si>
  <si>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</si>
  <si>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</si>
  <si>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</si>
  <si>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</si>
  <si>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</si>
  <si>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</si>
  <si>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</si>
  <si>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</si>
  <si>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</si>
  <si>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</si>
  <si>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</si>
  <si>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</si>
  <si>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</si>
  <si>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</si>
  <si>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</si>
  <si>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</si>
  <si>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</si>
  <si>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</si>
  <si>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</si>
  <si>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</si>
  <si>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</si>
  <si>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</si>
  <si>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</si>
  <si>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</si>
  <si>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</si>
  <si>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</si>
  <si>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</si>
  <si>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</si>
  <si>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</si>
  <si>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</si>
  <si>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</si>
  <si>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</si>
  <si>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</si>
  <si>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</si>
  <si>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</si>
  <si>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</si>
  <si>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</si>
  <si>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</si>
  <si>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</si>
  <si>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</si>
  <si>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</si>
  <si>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</si>
  <si>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</si>
  <si>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</si>
  <si>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</si>
  <si>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</si>
  <si>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</si>
  <si>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</si>
  <si>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</si>
  <si>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</si>
  <si>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</si>
  <si>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</si>
  <si>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</si>
  <si>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</si>
  <si>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</si>
  <si>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</si>
  <si>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</si>
  <si>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</si>
  <si>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</si>
  <si>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</si>
  <si>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</si>
  <si>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</si>
  <si>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</si>
  <si>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</si>
  <si>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</si>
  <si>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</si>
  <si>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</si>
  <si>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</si>
  <si>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</si>
  <si>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</si>
  <si>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</si>
  <si>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</si>
  <si>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</si>
  <si>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</si>
  <si>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</si>
  <si>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</si>
  <si>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</si>
  <si>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</si>
  <si>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</si>
  <si>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</si>
  <si>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</si>
  <si>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</si>
  <si>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</si>
  <si>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</si>
  <si>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</si>
  <si>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</si>
  <si>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</si>
  <si>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</si>
  <si>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</si>
  <si>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</si>
  <si>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</si>
  <si>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</si>
  <si>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</si>
  <si>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</si>
  <si>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</si>
  <si>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</si>
  <si>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</si>
  <si>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</si>
  <si>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</si>
  <si>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</si>
  <si>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</si>
  <si>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</si>
  <si>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</si>
  <si>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</si>
  <si>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</si>
  <si>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</si>
  <si>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</si>
  <si>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</si>
  <si>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</si>
  <si>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</si>
  <si>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</si>
  <si>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</si>
  <si>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</si>
  <si>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</si>
  <si>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</si>
  <si>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</si>
  <si>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</si>
  <si>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</si>
  <si>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</si>
  <si>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</si>
  <si>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</si>
  <si>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</si>
  <si>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</si>
  <si>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</si>
  <si>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</si>
  <si>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</si>
  <si>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</si>
  <si>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</si>
  <si>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</si>
  <si>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</si>
  <si>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</si>
  <si>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</si>
  <si>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</si>
  <si>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</si>
  <si>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</si>
  <si>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</si>
  <si>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</si>
  <si>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</si>
  <si>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</si>
  <si>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</si>
  <si>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</si>
  <si>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</si>
  <si>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</si>
  <si>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</si>
  <si>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</si>
  <si>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</si>
  <si>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</si>
  <si>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</si>
  <si>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</si>
  <si>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</si>
  <si>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</si>
  <si>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</si>
  <si>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</si>
  <si>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</si>
  <si>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</si>
  <si>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</si>
  <si>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</si>
  <si>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</si>
  <si>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</si>
  <si>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</si>
  <si>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</si>
  <si>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</si>
  <si>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</si>
  <si>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</si>
  <si>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</si>
  <si>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</si>
  <si>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</si>
  <si>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</si>
  <si>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</si>
  <si>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</si>
  <si>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</si>
  <si>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</si>
  <si>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</si>
  <si>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</si>
  <si>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</si>
  <si>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</si>
  <si>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</si>
  <si>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</si>
  <si>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</si>
  <si>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</si>
  <si>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</si>
  <si>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</si>
  <si>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</si>
  <si>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</si>
  <si>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</si>
  <si>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</si>
  <si>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</si>
  <si>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</si>
  <si>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</si>
  <si>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</si>
  <si>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</si>
  <si>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</si>
  <si>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</si>
  <si>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</si>
  <si>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</si>
  <si>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</si>
  <si>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</si>
  <si>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</si>
  <si>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</si>
  <si>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</si>
  <si>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</si>
  <si>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</si>
  <si>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</si>
  <si>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</si>
  <si>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</si>
  <si>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</si>
  <si>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</si>
  <si>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</si>
  <si>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</si>
  <si>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</si>
  <si>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</si>
  <si>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The streams are not complicated, but very complex to make any judgement</t>
  </si>
  <si>
    <t xml:space="preserve">It's a cyclical business 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</si>
  <si>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</si>
  <si>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</si>
  <si>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</si>
  <si>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</si>
  <si>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</si>
  <si>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</si>
  <si>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</si>
  <si>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</si>
  <si>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</si>
  <si>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</si>
  <si>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</si>
  <si>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</si>
  <si>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</si>
  <si>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</si>
  <si>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</si>
  <si>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0806.HK</t>
  </si>
  <si>
    <t>VALUE PARTNERS</t>
  </si>
  <si>
    <t>HK</t>
  </si>
  <si>
    <t>It's a HK listed hedge fund with net realizable assets higher than its market cap and a potentially profitable cyclical business.</t>
  </si>
  <si>
    <t xml:space="preserve">Asset Plays </t>
  </si>
  <si>
    <t>1. Strong BS that will withstand the current bad perfomance.
2. Negative EV with lots of Monetary investments.
3. Low operating expenses in a cyclical business.</t>
  </si>
  <si>
    <t>1. The AUM has fallen so much to a point that the company is no longer operatingly profitable
2. depends largely on uncontrolable market performance.</t>
  </si>
  <si>
    <t>The performance is at a historical low point, which ,given its strong BS and business, would likely give rise to the reversion to mean effect at the market recovery.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</si>
  <si>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</si>
  <si>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</si>
  <si>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</si>
  <si>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</si>
  <si>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</si>
  <si>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</si>
  <si>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</si>
  <si>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</si>
  <si>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</si>
  <si>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A = Upside in event of a win</t>
  </si>
  <si>
    <t>B = Downside in event of a loss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</si>
  <si>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</si>
  <si>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</si>
  <si>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</si>
  <si>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W = The estimated probability of win</t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</si>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</sst>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2" zoomScaleNormal="100" workbookViewId="0">
      <selection activeCell="B44" sqref="B4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0806.HK : VALUE PARTNERS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0" t="s">
        <v>320</v>
      </c>
      <c r="D3" s="391"/>
      <c r="E3" s="15"/>
      <c r="G3" s="7" t="s">
        <v>2</v>
      </c>
      <c r="I3" s="402" t="s">
        <v>3</v>
      </c>
      <c r="J3" s="403"/>
    </row>
    <row r="4" spans="1:12" ht="15.75" customHeight="1" x14ac:dyDescent="0.3">
      <c r="B4" s="5" t="s">
        <v>4</v>
      </c>
      <c r="C4" s="392" t="s">
        <v>321</v>
      </c>
      <c r="D4" s="393"/>
      <c r="E4" s="6"/>
      <c r="G4" s="5" t="s">
        <v>5</v>
      </c>
      <c r="I4" s="32">
        <v>2.46</v>
      </c>
      <c r="J4" s="33" t="s">
        <v>6</v>
      </c>
      <c r="K4" s="152"/>
    </row>
    <row r="5" spans="1:12" ht="15.75" customHeight="1" x14ac:dyDescent="0.3">
      <c r="B5" s="5" t="s">
        <v>7</v>
      </c>
      <c r="C5" s="394">
        <v>44771</v>
      </c>
      <c r="D5" s="393"/>
      <c r="E5" s="122" t="str">
        <f ca="1">IF(C5+30&gt;=TODAY(),"Patience Premium","")</f>
        <v/>
      </c>
      <c r="G5" s="5" t="s">
        <v>8</v>
      </c>
      <c r="I5" s="386">
        <v>1826710016</v>
      </c>
      <c r="J5" s="387"/>
      <c r="K5" s="151"/>
      <c r="L5" s="85"/>
    </row>
    <row r="6" spans="1:12" ht="15.75" customHeight="1" x14ac:dyDescent="0.3">
      <c r="B6" s="12" t="s">
        <v>251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404">
        <f>I4*I5/1000000</f>
        <v>4493.7066393599998</v>
      </c>
      <c r="J6" s="405"/>
      <c r="K6" s="151"/>
    </row>
    <row r="7" spans="1:12" ht="15.75" customHeight="1" x14ac:dyDescent="0.3">
      <c r="B7" s="139" t="s">
        <v>10</v>
      </c>
      <c r="C7" s="145">
        <f>(Data!C39*Exchange_Rate)/I4</f>
        <v>0.14035807199239628</v>
      </c>
      <c r="D7" s="145">
        <f>(Data!C40*Exchange_Rate)/I4</f>
        <v>4.9017440985282285E-3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9.815594225939412</v>
      </c>
      <c r="J9" s="48">
        <f>IF(I9="NNI","NNI",1/I9)</f>
        <v>0.10187870209195551</v>
      </c>
    </row>
    <row r="10" spans="1:12" ht="15.75" customHeight="1" x14ac:dyDescent="0.3">
      <c r="B10" s="3" t="s">
        <v>268</v>
      </c>
      <c r="C10" s="300" t="s">
        <v>322</v>
      </c>
      <c r="D10" s="300">
        <v>3.8159999999999999E-2</v>
      </c>
      <c r="E10" s="5"/>
      <c r="G10" s="5" t="s">
        <v>14</v>
      </c>
      <c r="I10" s="138">
        <f>I4/(Data!C28*I12*Data!C4/Common_Shares)</f>
        <v>0.85354525317132512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35">
      <c r="B11" s="313" t="s">
        <v>271</v>
      </c>
      <c r="C11" s="416">
        <f ca="1">C12-D10</f>
        <v>2.1839999999999998E-2</v>
      </c>
      <c r="D11" s="417"/>
      <c r="E11" s="13"/>
      <c r="G11" s="5" t="s">
        <v>15</v>
      </c>
      <c r="H11" s="6"/>
      <c r="I11" s="414" t="s">
        <v>6</v>
      </c>
      <c r="J11" s="415"/>
    </row>
    <row r="12" spans="1:12" ht="15.75" customHeight="1" thickTop="1" x14ac:dyDescent="0.3">
      <c r="B12" s="314" t="s">
        <v>145</v>
      </c>
      <c r="C12" s="418">
        <f ca="1">IF(C10="CN",8%,6%)*IF($C$5+30&gt;=TODAY(),1.2,1)</f>
        <v>0.06</v>
      </c>
      <c r="D12" s="419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1.5044652214049168</v>
      </c>
      <c r="E14" s="127" t="s">
        <v>229</v>
      </c>
      <c r="F14" s="184">
        <f ca="1">MAX('FCFF Model'!C30,'FCFF Model'!E30)</f>
        <v>1.7388053570895838</v>
      </c>
      <c r="G14" s="185" t="s">
        <v>24</v>
      </c>
      <c r="H14" s="193">
        <f ca="1">IF('FCFF Model'!C33&lt;0, "Error", 'FCFF Model'!C33)</f>
        <v>1.7388053570895838</v>
      </c>
      <c r="I14" s="133"/>
      <c r="J14" s="133"/>
    </row>
    <row r="15" spans="1:12" ht="15.75" customHeight="1" x14ac:dyDescent="0.3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2.46</v>
      </c>
      <c r="C16" s="425">
        <v>0.1</v>
      </c>
      <c r="D16" s="159" t="str">
        <f ca="1">IF(B17='FCFF Model'!G19,"Asset Play", H14/B16-1-C16)</f>
        <v>Asset Play</v>
      </c>
      <c r="E16" s="422">
        <f>'FCFF Model'!D11*Exchange_Rate</f>
        <v>0</v>
      </c>
      <c r="F16" s="161">
        <f>E16/B16</f>
        <v>0</v>
      </c>
      <c r="G16" s="409" t="s">
        <v>25</v>
      </c>
      <c r="H16" s="406">
        <f>('FCFF Model'!G19)*Exchange_Rate</f>
        <v>1.7388053570895838</v>
      </c>
      <c r="I16" s="409" t="s">
        <v>26</v>
      </c>
      <c r="J16" s="206">
        <f>B16-$H$16</f>
        <v>0.72119464291041613</v>
      </c>
    </row>
    <row r="17" spans="1:10" ht="15.75" customHeight="1" x14ac:dyDescent="0.3">
      <c r="B17" s="290">
        <f ca="1">MAX(H14/(1+C16),'FCFF Model'!G19*Exchange_Rate)</f>
        <v>1.7388053570895838</v>
      </c>
      <c r="C17" s="426"/>
      <c r="D17" s="289" t="str">
        <f ca="1">IF(B17='FCFF Model'!G19,"Asset Play",H14/B17-1-C16)</f>
        <v>Asset Play</v>
      </c>
      <c r="E17" s="423"/>
      <c r="F17" s="162">
        <f ca="1">E16/B17</f>
        <v>0</v>
      </c>
      <c r="G17" s="410"/>
      <c r="H17" s="407"/>
      <c r="I17" s="410"/>
      <c r="J17" s="205">
        <f ca="1">B17-$H$16</f>
        <v>0</v>
      </c>
    </row>
    <row r="18" spans="1:10" ht="15.75" customHeight="1" x14ac:dyDescent="0.3">
      <c r="B18" s="356">
        <f>C35</f>
        <v>1.86</v>
      </c>
      <c r="C18" s="427"/>
      <c r="D18" s="160" t="str">
        <f ca="1">IF(B17='FCFF Model'!G19,"Asset Play", H14/B18-1-C16)</f>
        <v>Asset Play</v>
      </c>
      <c r="E18" s="424"/>
      <c r="F18" s="163">
        <f>E16/B18</f>
        <v>0</v>
      </c>
      <c r="G18" s="411"/>
      <c r="H18" s="408"/>
      <c r="I18" s="411"/>
      <c r="J18" s="207">
        <f>B18-$H$16</f>
        <v>0.12119464291041626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249</v>
      </c>
      <c r="D20" s="291" t="s">
        <v>324</v>
      </c>
      <c r="E20" s="266" t="s">
        <v>259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7" t="s">
        <v>323</v>
      </c>
      <c r="D21" s="398"/>
      <c r="E21" s="398"/>
      <c r="F21" s="398"/>
      <c r="G21" s="398"/>
      <c r="H21" s="398"/>
      <c r="I21" s="398"/>
      <c r="J21" s="399"/>
    </row>
    <row r="22" spans="1:10" ht="52.5" customHeight="1" x14ac:dyDescent="0.3">
      <c r="A22" s="6"/>
      <c r="B22" s="24" t="s">
        <v>29</v>
      </c>
      <c r="C22" s="413" t="s">
        <v>325</v>
      </c>
      <c r="D22" s="378"/>
      <c r="E22" s="378"/>
      <c r="F22" s="378"/>
      <c r="G22" s="413" t="s">
        <v>326</v>
      </c>
      <c r="H22" s="413"/>
      <c r="I22" s="378"/>
      <c r="J22" s="378"/>
    </row>
    <row r="23" spans="1:10" ht="52.5" customHeight="1" x14ac:dyDescent="0.3">
      <c r="A23" s="6"/>
      <c r="B23" s="25" t="s">
        <v>30</v>
      </c>
      <c r="C23" s="400" t="s">
        <v>327</v>
      </c>
      <c r="D23" s="401"/>
      <c r="E23" s="401"/>
      <c r="F23" s="401"/>
      <c r="G23" s="400" t="s">
        <v>328</v>
      </c>
      <c r="H23" s="400"/>
      <c r="I23" s="401"/>
      <c r="J23" s="401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306</v>
      </c>
      <c r="G25" s="12"/>
      <c r="H25" s="354">
        <v>0.15</v>
      </c>
      <c r="I25" s="30" t="s">
        <v>307</v>
      </c>
      <c r="J25" s="355">
        <f ca="1">IF(D17="Asset Play", 'FCFF Model'!G19, H14/(H25+C16+1))</f>
        <v>1.7388053570895838</v>
      </c>
    </row>
    <row r="26" spans="1:10" ht="15.75" customHeight="1" x14ac:dyDescent="0.3">
      <c r="B26" s="23" t="s">
        <v>33</v>
      </c>
      <c r="C26" s="395"/>
      <c r="D26" s="396"/>
      <c r="E26" s="431" t="str">
        <f>IF(C26="","","Action_Planning")</f>
        <v/>
      </c>
      <c r="F26" s="432"/>
      <c r="G26" s="432"/>
      <c r="H26" s="433"/>
      <c r="I26" s="412" t="s">
        <v>34</v>
      </c>
      <c r="J26" s="412"/>
    </row>
    <row r="27" spans="1:10" ht="15.75" customHeight="1" x14ac:dyDescent="0.3">
      <c r="B27" s="23" t="s">
        <v>35</v>
      </c>
      <c r="C27" s="421">
        <f>C31/D25</f>
        <v>0.24179999999999999</v>
      </c>
      <c r="D27" s="376"/>
      <c r="E27" s="420">
        <f>E31/D25</f>
        <v>0</v>
      </c>
      <c r="F27" s="376"/>
      <c r="G27" s="429">
        <f>G31/D25</f>
        <v>0</v>
      </c>
      <c r="H27" s="430"/>
      <c r="I27" s="428">
        <f>C27+E27+G27</f>
        <v>0.24179999999999999</v>
      </c>
      <c r="J27" s="428"/>
    </row>
    <row r="28" spans="1:10" ht="15.75" customHeight="1" x14ac:dyDescent="0.3">
      <c r="B28" s="23" t="s">
        <v>36</v>
      </c>
      <c r="C28" s="377">
        <v>78000</v>
      </c>
      <c r="D28" s="378"/>
      <c r="E28" s="377"/>
      <c r="F28" s="378"/>
      <c r="G28" s="386"/>
      <c r="H28" s="387"/>
      <c r="I28" s="366">
        <f>C28+E28+G28</f>
        <v>78000</v>
      </c>
      <c r="J28" s="366"/>
    </row>
    <row r="29" spans="1:10" ht="15.75" customHeight="1" x14ac:dyDescent="0.3">
      <c r="B29" s="23" t="s">
        <v>37</v>
      </c>
      <c r="C29" s="379">
        <v>1.86</v>
      </c>
      <c r="D29" s="378"/>
      <c r="E29" s="379"/>
      <c r="F29" s="378"/>
      <c r="G29" s="380"/>
      <c r="H29" s="381"/>
      <c r="I29" s="388"/>
      <c r="J29" s="388"/>
    </row>
    <row r="30" spans="1:10" ht="15.75" customHeight="1" x14ac:dyDescent="0.3">
      <c r="B30" s="23" t="s">
        <v>38</v>
      </c>
      <c r="C30" s="364">
        <f>C29*$I$5/1000000</f>
        <v>3397.6806297600001</v>
      </c>
      <c r="D30" s="371"/>
      <c r="E30" s="364">
        <f>E29*$I$5/1000000</f>
        <v>0</v>
      </c>
      <c r="F30" s="371"/>
      <c r="G30" s="382">
        <f>G29*$I$5/1000000</f>
        <v>0</v>
      </c>
      <c r="H30" s="383"/>
      <c r="I30" s="389"/>
      <c r="J30" s="389"/>
    </row>
    <row r="31" spans="1:10" ht="15.75" customHeight="1" x14ac:dyDescent="0.3">
      <c r="B31" s="2" t="s">
        <v>39</v>
      </c>
      <c r="C31" s="372">
        <f>C28*C29</f>
        <v>145080</v>
      </c>
      <c r="D31" s="373"/>
      <c r="E31" s="365">
        <f>E28*E29</f>
        <v>0</v>
      </c>
      <c r="F31" s="374"/>
      <c r="G31" s="384">
        <f>G28*G29</f>
        <v>0</v>
      </c>
      <c r="H31" s="385"/>
      <c r="I31" s="365">
        <f>C31+E31+G31</f>
        <v>145080</v>
      </c>
      <c r="J31" s="365"/>
    </row>
    <row r="32" spans="1:10" ht="15.75" customHeight="1" x14ac:dyDescent="0.3">
      <c r="B32" s="1" t="s">
        <v>40</v>
      </c>
      <c r="C32" s="367"/>
      <c r="D32" s="368"/>
      <c r="E32" s="375">
        <f>IF(C31=0,"-",(C31+E31)/(C28+E28))</f>
        <v>1.86</v>
      </c>
      <c r="F32" s="376"/>
      <c r="G32" s="117"/>
      <c r="H32" s="117"/>
      <c r="I32" s="375">
        <f>IF(I31=0,"",I31/I28)</f>
        <v>1.86</v>
      </c>
      <c r="J32" s="375"/>
    </row>
    <row r="33" spans="2:11" ht="15.75" customHeight="1" x14ac:dyDescent="0.3">
      <c r="B33" s="1" t="s">
        <v>41</v>
      </c>
      <c r="C33" s="369"/>
      <c r="D33" s="370"/>
      <c r="E33" s="364">
        <f>IF(E32="-","-",E32*$I$5/1000000)</f>
        <v>3397.6806297600001</v>
      </c>
      <c r="F33" s="371"/>
      <c r="G33" s="118"/>
      <c r="H33" s="118"/>
      <c r="I33" s="364">
        <f>IF(I32="","",I32*$I$5/1000000)</f>
        <v>3397.6806297600001</v>
      </c>
      <c r="J33" s="364"/>
    </row>
    <row r="34" spans="2:11" ht="15.75" customHeight="1" x14ac:dyDescent="0.3"/>
    <row r="35" spans="2:11" ht="15.75" customHeight="1" x14ac:dyDescent="0.3">
      <c r="B35" s="146" t="s">
        <v>308</v>
      </c>
      <c r="C35" s="434">
        <f>C29</f>
        <v>1.86</v>
      </c>
      <c r="D35" s="435"/>
      <c r="G35" s="439" t="s">
        <v>310</v>
      </c>
      <c r="H35" s="440"/>
      <c r="I35" s="434">
        <v>2.8</v>
      </c>
      <c r="J35" s="435"/>
    </row>
    <row r="36" spans="2:11" ht="15.75" customHeight="1" x14ac:dyDescent="0.3">
      <c r="B36" s="146" t="s">
        <v>309</v>
      </c>
      <c r="C36" s="377">
        <f>C28</f>
        <v>78000</v>
      </c>
      <c r="D36" s="436"/>
      <c r="G36" s="441" t="s">
        <v>332</v>
      </c>
      <c r="H36" s="441"/>
      <c r="I36" s="442">
        <f>IF(C26="",0,I35/C29-1)</f>
        <v>0</v>
      </c>
      <c r="J36" s="443"/>
    </row>
    <row r="37" spans="2:11" ht="15.75" customHeight="1" x14ac:dyDescent="0.3"/>
    <row r="38" spans="2:11" ht="15.75" customHeight="1" x14ac:dyDescent="0.3">
      <c r="B38" s="21" t="s">
        <v>333</v>
      </c>
      <c r="G38" s="72" t="s">
        <v>136</v>
      </c>
      <c r="J38" s="437"/>
      <c r="K38" s="438"/>
    </row>
    <row r="39" spans="2:11" ht="15.75" customHeight="1" x14ac:dyDescent="0.3">
      <c r="B39" s="3" t="s">
        <v>334</v>
      </c>
      <c r="F39" s="214">
        <f>'Qualitative Analysis'!E8</f>
        <v>0.61</v>
      </c>
    </row>
    <row r="40" spans="2:11" ht="15.75" customHeight="1" x14ac:dyDescent="0.3">
      <c r="B40" s="3" t="s">
        <v>335</v>
      </c>
      <c r="F40" s="214">
        <f>80%-(5%*IF(LEFT(D20,2)="St",1,IF(LEFT(D20,2)="Sl",2,IF(LEFT(D20,2)="Cy",3,IF(LEFT(D20,2)="Fa",4,IF(LEFT(D20,2)="Tu",5,0))))))</f>
        <v>0.8</v>
      </c>
    </row>
    <row r="41" spans="2:11" ht="15.75" customHeight="1" x14ac:dyDescent="0.3">
      <c r="B41" s="3" t="s">
        <v>336</v>
      </c>
      <c r="E41" s="357"/>
      <c r="F41" s="358">
        <f>'Qualitative Analysis'!E64</f>
        <v>0.56599489795918378</v>
      </c>
    </row>
    <row r="42" spans="2:11" ht="15.75" customHeight="1" x14ac:dyDescent="0.3">
      <c r="B42" s="3" t="s">
        <v>343</v>
      </c>
      <c r="E42" s="357">
        <f>IF(F42="Strongly disagree",0,IF(F42="disagree",1,IF(F42="So-so",2,IF(F42="agree",3,4))))/4</f>
        <v>1</v>
      </c>
      <c r="F42" s="102" t="str">
        <f>IF(F45&lt;D10,"Strongly Disagree",IF(F45&lt;10%,"Disagree",IF(F45&gt;=30%,"Strongly Agree",IF(F45&gt;=20%,"Agree","So-so"))))</f>
        <v>Strongly Agree</v>
      </c>
    </row>
    <row r="43" spans="2:11" ht="15.75" customHeight="1" x14ac:dyDescent="0.3">
      <c r="B43" s="3" t="s">
        <v>344</v>
      </c>
      <c r="F43" s="362">
        <v>0.8</v>
      </c>
    </row>
    <row r="44" spans="2:11" ht="15.75" customHeight="1" x14ac:dyDescent="0.3"/>
    <row r="45" spans="2:11" ht="15.75" customHeight="1" x14ac:dyDescent="0.3">
      <c r="B45" s="3" t="s">
        <v>337</v>
      </c>
      <c r="F45" s="358">
        <f>I35/C29-1</f>
        <v>0.50537634408602128</v>
      </c>
    </row>
    <row r="46" spans="2:11" ht="15.75" customHeight="1" x14ac:dyDescent="0.3">
      <c r="B46" s="3" t="s">
        <v>338</v>
      </c>
      <c r="F46" s="358">
        <f ca="1">D14/C29-1</f>
        <v>-0.19114773042746414</v>
      </c>
    </row>
    <row r="47" spans="2:11" ht="15.75" customHeight="1" x14ac:dyDescent="0.3"/>
    <row r="48" spans="2:11" ht="15.75" customHeight="1" x14ac:dyDescent="0.3">
      <c r="B48" s="3" t="s">
        <v>342</v>
      </c>
      <c r="F48" s="214">
        <f>IF(F45&lt;=0,0,AVERAGE(F39:F41,1-F43,E42))</f>
        <v>0.63519897959183669</v>
      </c>
    </row>
    <row r="49" spans="2:8" ht="15.75" customHeight="1" x14ac:dyDescent="0.3">
      <c r="B49" s="3" t="s">
        <v>339</v>
      </c>
      <c r="E49" s="363">
        <f ca="1">F45/ABS(F46)</f>
        <v>2.643904497091579</v>
      </c>
      <c r="F49" s="359">
        <f ca="1">IF(F46&gt;=0,100,F45/ABS(F46))</f>
        <v>2.643904497091579</v>
      </c>
    </row>
    <row r="50" spans="2:8" ht="15.75" customHeight="1" x14ac:dyDescent="0.3">
      <c r="B50" s="3" t="s">
        <v>340</v>
      </c>
      <c r="E50" s="107">
        <f ca="1">MAX(F48-ABS((1-F48)/F49),0)/2</f>
        <v>0.24861042063523917</v>
      </c>
      <c r="F50" s="360">
        <f ca="1">MIN(E50,H50)</f>
        <v>0.24861042063523917</v>
      </c>
      <c r="G50" s="361" t="s">
        <v>341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5">
    <mergeCell ref="C35:D35"/>
    <mergeCell ref="C36:D36"/>
    <mergeCell ref="I35:J35"/>
    <mergeCell ref="J38:K38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J38:K38">
    <cfRule type="containsBlanks" priority="7">
      <formula>LEN(TRIM(J38))=0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B485912B-6070-4298-A4D1-7FAA3AA8B793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3" sqref="C3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457813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327451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1281649</v>
      </c>
      <c r="D7" s="35">
        <v>2561449</v>
      </c>
      <c r="E7" s="35">
        <v>1603918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-0.49963907147868258</v>
      </c>
      <c r="D8" s="14">
        <f t="shared" si="1"/>
        <v>0.59699498353407088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915778</v>
      </c>
      <c r="D9" s="35">
        <v>1183731</v>
      </c>
      <c r="E9" s="35">
        <v>1208113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0.28546895444852688</v>
      </c>
      <c r="D10" s="14">
        <f t="shared" si="2"/>
        <v>0.53786665282033719</v>
      </c>
      <c r="E10" s="14">
        <f t="shared" si="2"/>
        <v>0.24677383756526206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38420</v>
      </c>
      <c r="D11" s="35">
        <v>42886</v>
      </c>
      <c r="E11" s="35">
        <v>55024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2.9977006185000765E-2</v>
      </c>
      <c r="D12" s="14">
        <f t="shared" si="3"/>
        <v>1.6742867025656083E-2</v>
      </c>
      <c r="E12" s="14">
        <f t="shared" si="3"/>
        <v>3.4305993199153562E-2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0.25549194826352611</v>
      </c>
      <c r="D13" s="14">
        <f t="shared" si="4"/>
        <v>0.5211237857946811</v>
      </c>
      <c r="E13" s="14">
        <f t="shared" si="4"/>
        <v>0.21246784436610849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327451</v>
      </c>
      <c r="D14" s="27">
        <f t="shared" si="5"/>
        <v>1334832</v>
      </c>
      <c r="E14" s="27">
        <f t="shared" si="5"/>
        <v>340781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-0.75468748127105134</v>
      </c>
      <c r="D15" s="14">
        <f t="shared" ref="D15:M15" si="6">IF(E14="","",IF(ABS(D14+E14)=ABS(D14)+ABS(E14),IF(D14&lt;0,-1,1)*(D14-E14)/E14,"Turn"))</f>
        <v>2.9169789395535548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IF(C14="","",C14*(1-Operation!$D$17))</f>
        <v>327451</v>
      </c>
      <c r="D16" s="143">
        <f>IF(D14="","",D14*(1-Operation!$D$17))</f>
        <v>1334832</v>
      </c>
      <c r="E16" s="143">
        <f>IF(E14="","",E14*(1-Operation!$D$17))</f>
        <v>340781</v>
      </c>
      <c r="F16" s="143" t="str">
        <f>IF(F14="","",F14*(1-Operation!$D$17))</f>
        <v/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0.25549194826352611</v>
      </c>
      <c r="D17" s="129">
        <f t="shared" si="7"/>
        <v>0.5211237857946811</v>
      </c>
      <c r="E17" s="129">
        <f t="shared" si="7"/>
        <v>0.21246784436610849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252</v>
      </c>
      <c r="C18" s="144">
        <v>3968</v>
      </c>
      <c r="D18" s="144">
        <v>3450</v>
      </c>
      <c r="E18" s="144">
        <v>5627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457813</v>
      </c>
      <c r="D19" s="35">
        <v>1379475</v>
      </c>
      <c r="E19" s="35">
        <v>513409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267</v>
      </c>
      <c r="C20" s="14">
        <f>IF(D19="","",IF(ABS(C19+D19)=ABS(C19)+ABS(D19),IF(C19&lt;0,-1,1)*(C19-D19)/D19,"Turn"))</f>
        <v>-0.66812519255513869</v>
      </c>
      <c r="D20" s="14">
        <f t="shared" ref="D20:M20" si="8">IF(E19="","",IF(ABS(D19+E19)=ABS(D19)+ABS(E19),IF(D19&lt;0,-1,1)*(D19-E19)/E19,"Turn"))</f>
        <v>1.6868929060456672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1971613</v>
      </c>
      <c r="D21" s="35">
        <v>3670507</v>
      </c>
      <c r="E21" s="35">
        <v>2865345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285909</v>
      </c>
      <c r="D22" s="35">
        <v>828810</v>
      </c>
      <c r="E22" s="35">
        <v>420078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19771</v>
      </c>
      <c r="D23" s="35">
        <v>98956</v>
      </c>
      <c r="E23" s="35">
        <v>28056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19771</v>
      </c>
      <c r="D24" s="140">
        <v>12457</v>
      </c>
      <c r="E24" s="140">
        <v>28056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108512</v>
      </c>
      <c r="D25" s="35">
        <v>775</v>
      </c>
      <c r="E25" s="35">
        <v>92873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25878</v>
      </c>
      <c r="D26" s="140">
        <v>775</v>
      </c>
      <c r="E26" s="140">
        <v>12335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128283</v>
      </c>
      <c r="D27" s="27">
        <f t="shared" si="9"/>
        <v>99731</v>
      </c>
      <c r="E27" s="27">
        <f t="shared" si="9"/>
        <v>120929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5264755</v>
      </c>
      <c r="D28" s="35">
        <v>5418042</v>
      </c>
      <c r="E28" s="35">
        <v>4389444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5264755</v>
      </c>
      <c r="D29" s="140">
        <v>5418042</v>
      </c>
      <c r="E29" s="140">
        <v>4389444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238398</v>
      </c>
      <c r="D30" s="35">
        <v>208555</v>
      </c>
      <c r="E30" s="35">
        <v>235491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230</v>
      </c>
      <c r="C31" s="176">
        <v>1665937</v>
      </c>
      <c r="D31" s="35">
        <v>1974408</v>
      </c>
      <c r="E31" s="35">
        <v>2200778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0.12518141930720894</v>
      </c>
      <c r="D32" s="14">
        <f t="shared" si="10"/>
        <v>-0.12915537867708757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-17917.2</v>
      </c>
      <c r="D33" s="248">
        <f>IF(E7="","",(D7-E7)*Asset_Model!$D$65)</f>
        <v>13405.434000000001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11925.8</v>
      </c>
      <c r="D34" s="143">
        <f>IF(E7="","",D30-E30+D33+IF($C$49="Yes",D51,0))</f>
        <v>-13530.565999999999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3.6420105603586488E-2</v>
      </c>
      <c r="D35" s="239">
        <f t="shared" si="19"/>
        <v>-1.0136531039112037E-2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253</v>
      </c>
      <c r="C37" s="165">
        <v>630728</v>
      </c>
      <c r="D37" s="165">
        <v>408118</v>
      </c>
      <c r="E37" s="165">
        <v>111349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22027</v>
      </c>
      <c r="D38" s="164">
        <v>0</v>
      </c>
      <c r="E38" s="164">
        <v>3002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0.34528085710129486</v>
      </c>
      <c r="D39" s="170">
        <f t="shared" si="20"/>
        <v>0.22341696077939499</v>
      </c>
      <c r="E39" s="170">
        <f t="shared" si="20"/>
        <v>6.0956035180572417E-2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1.2058290482379443E-2</v>
      </c>
      <c r="D40" s="172">
        <f t="shared" si="21"/>
        <v>0</v>
      </c>
      <c r="E40" s="172">
        <f t="shared" si="21"/>
        <v>1.6433916569711304E-3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2.0611025584286447E-2</v>
      </c>
      <c r="D42" s="48">
        <f t="shared" ref="D42:M42" si="22">IF(D29="","",D25/D29)</f>
        <v>1.4304060396726345E-4</v>
      </c>
      <c r="E42" s="48">
        <f t="shared" si="22"/>
        <v>2.1158260590635171E-2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248</v>
      </c>
      <c r="C43" s="14">
        <f t="shared" ref="C43:M43" si="23">IF(C29="","",C27/C29)</f>
        <v>2.436637602319576E-2</v>
      </c>
      <c r="D43" s="14">
        <f t="shared" si="23"/>
        <v>1.8407203192592453E-2</v>
      </c>
      <c r="E43" s="14">
        <f t="shared" si="23"/>
        <v>2.7549958491326007E-2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2.5525673705791103</v>
      </c>
      <c r="D44" s="50">
        <f t="shared" si="24"/>
        <v>13.384323831105675</v>
      </c>
      <c r="E44" s="50">
        <f t="shared" si="24"/>
        <v>2.8180254529517321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1.2117843585757869E-2</v>
      </c>
      <c r="D45" s="14">
        <f t="shared" si="25"/>
        <v>2.5845949153151856E-3</v>
      </c>
      <c r="E45" s="14">
        <f t="shared" si="25"/>
        <v>1.6512070802069363E-2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6.8959459128603857</v>
      </c>
      <c r="D46" s="51">
        <f t="shared" si="26"/>
        <v>4.4286470964394731</v>
      </c>
      <c r="E46" s="51">
        <f t="shared" si="26"/>
        <v>6.8209832459686055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292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293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136</v>
      </c>
    </row>
    <row r="3" spans="1:11" ht="15" customHeight="1" x14ac:dyDescent="0.3">
      <c r="B3" s="5" t="s">
        <v>254</v>
      </c>
      <c r="C3" s="6"/>
      <c r="D3" s="274">
        <v>4494199</v>
      </c>
      <c r="E3" s="156" t="str">
        <f>IF((C46-I46)=D3,"", "Error!")</f>
        <v/>
      </c>
      <c r="F3" s="6"/>
      <c r="G3" s="6"/>
      <c r="H3" s="275" t="s">
        <v>255</v>
      </c>
      <c r="I3" s="276">
        <v>4494199</v>
      </c>
      <c r="K3" s="74"/>
    </row>
    <row r="4" spans="1:11" ht="15" customHeight="1" x14ac:dyDescent="0.3">
      <c r="B4" s="5" t="s">
        <v>221</v>
      </c>
      <c r="C4" s="6"/>
      <c r="D4" s="277">
        <f>D3-I3</f>
        <v>0</v>
      </c>
      <c r="E4" s="150"/>
      <c r="F4" s="6"/>
      <c r="G4" s="6"/>
      <c r="H4" s="60" t="s">
        <v>82</v>
      </c>
      <c r="I4" s="91">
        <f>(I3*Dashboard!I12*Data!C4)/Dashboard!I5</f>
        <v>2.4602695340999325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3416630.5116700004</v>
      </c>
      <c r="E6" s="14">
        <f>1-D6/D3</f>
        <v>0.23976875263645414</v>
      </c>
      <c r="F6" s="6"/>
      <c r="G6" s="6"/>
      <c r="H6" s="3" t="s">
        <v>311</v>
      </c>
      <c r="I6" s="69">
        <f>C26/I26</f>
        <v>8.6617479363458436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1.8703737767593214</v>
      </c>
      <c r="E7" s="49" t="str">
        <f>Dashboard!J4</f>
        <v>HKD</v>
      </c>
      <c r="H7" s="3" t="s">
        <v>312</v>
      </c>
      <c r="I7" s="69">
        <f>C25/I26</f>
        <v>8.2361118202706152</v>
      </c>
      <c r="J7" s="6"/>
      <c r="K7" s="116"/>
    </row>
    <row r="8" spans="1:11" ht="15" customHeight="1" x14ac:dyDescent="0.3">
      <c r="D8" s="6"/>
      <c r="H8" s="3" t="s">
        <v>313</v>
      </c>
      <c r="I8" s="69">
        <f>C24/I26</f>
        <v>7.0907199387286193</v>
      </c>
      <c r="K8" s="74"/>
    </row>
    <row r="9" spans="1:11" ht="15" customHeight="1" x14ac:dyDescent="0.3">
      <c r="A9" s="4"/>
      <c r="B9" s="268" t="s">
        <v>250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1666461</v>
      </c>
      <c r="D11" s="65">
        <v>1</v>
      </c>
      <c r="E11" s="27">
        <f t="shared" ref="E11:E21" si="0">C11*D11</f>
        <v>1666461</v>
      </c>
      <c r="F11" s="6"/>
      <c r="G11" s="6"/>
      <c r="H11" s="5" t="s">
        <v>92</v>
      </c>
      <c r="I11" s="64">
        <v>76054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19522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0.95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179371</v>
      </c>
      <c r="D15" s="65">
        <v>0.8</v>
      </c>
      <c r="E15" s="27">
        <f t="shared" si="0"/>
        <v>143496.80000000002</v>
      </c>
      <c r="G15" s="6"/>
      <c r="H15" s="5" t="s">
        <v>100</v>
      </c>
      <c r="I15" s="155">
        <f>I26-SUM(I11:I14)</f>
        <v>139444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67131+22688</f>
        <v>89819</v>
      </c>
      <c r="D17" s="65">
        <v>0.9</v>
      </c>
      <c r="E17" s="27">
        <f t="shared" si="0"/>
        <v>80837.100000000006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100033</v>
      </c>
      <c r="D21" s="65">
        <v>0.95</v>
      </c>
      <c r="E21" s="27">
        <f t="shared" si="0"/>
        <v>95031.349999999991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1666461</v>
      </c>
      <c r="D24" s="68">
        <f>IF(E24=0,0,E24/C24)</f>
        <v>1</v>
      </c>
      <c r="E24" s="27">
        <f>SUM(E11:E14)</f>
        <v>1666461</v>
      </c>
      <c r="F24" s="6"/>
      <c r="G24" s="6"/>
      <c r="H24" s="66" t="s">
        <v>314</v>
      </c>
      <c r="I24" s="69">
        <f>E24/($I$26-I15)</f>
        <v>17.435977651293211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1935651</v>
      </c>
      <c r="D25" s="68">
        <f>IF(E25=0,0,E25/C25)</f>
        <v>0.97682634937806445</v>
      </c>
      <c r="E25" s="27">
        <f>E24+SUM(E15:E17)</f>
        <v>1890794.9</v>
      </c>
      <c r="F25" s="6"/>
      <c r="G25" s="6"/>
      <c r="H25" s="66" t="s">
        <v>318</v>
      </c>
      <c r="I25" s="69">
        <f>E25/$I$26</f>
        <v>8.0452510424644714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2035684</v>
      </c>
      <c r="D26" s="14">
        <f t="shared" ref="D26" si="2">E26/C26</f>
        <v>0.97550810931362641</v>
      </c>
      <c r="E26" s="27">
        <f>SUM(E11:E22)</f>
        <v>1985826.2500000002</v>
      </c>
      <c r="H26" s="5" t="s">
        <v>58</v>
      </c>
      <c r="I26" s="64">
        <v>235020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237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0</v>
      </c>
      <c r="D29" s="65">
        <v>0.7</v>
      </c>
      <c r="E29" s="27">
        <f t="shared" ref="E29:E40" si="3">C29*D29</f>
        <v>0</v>
      </c>
      <c r="F29" s="6"/>
      <c r="G29" s="6"/>
      <c r="H29" s="5" t="s">
        <v>113</v>
      </c>
      <c r="I29" s="64">
        <v>9661</v>
      </c>
      <c r="J29" s="6"/>
    </row>
    <row r="30" spans="2:10" ht="15" customHeight="1" x14ac:dyDescent="0.3">
      <c r="B30" s="5" t="s">
        <v>114</v>
      </c>
      <c r="C30" s="64">
        <v>1743189</v>
      </c>
      <c r="D30" s="65">
        <v>0.75</v>
      </c>
      <c r="E30" s="27">
        <f t="shared" si="3"/>
        <v>1307391.75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0.8</v>
      </c>
      <c r="E32" s="27">
        <f t="shared" si="3"/>
        <v>0</v>
      </c>
      <c r="G32" s="6"/>
      <c r="H32" s="5" t="s">
        <v>118</v>
      </c>
      <c r="I32" s="155">
        <f>I42-SUM(I28:I31)</f>
        <v>8977</v>
      </c>
      <c r="J32" s="6"/>
    </row>
    <row r="33" spans="2:10" ht="14" x14ac:dyDescent="0.3">
      <c r="B33" s="5" t="s">
        <v>119</v>
      </c>
      <c r="C33" s="64">
        <v>545758</v>
      </c>
      <c r="D33" s="65">
        <v>0.7</v>
      </c>
      <c r="E33" s="220">
        <f t="shared" si="3"/>
        <v>382030.6</v>
      </c>
      <c r="F33" s="204" t="s">
        <v>239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197608</v>
      </c>
      <c r="D34" s="65">
        <v>0.85</v>
      </c>
      <c r="E34" s="220">
        <f t="shared" si="3"/>
        <v>167966.8</v>
      </c>
      <c r="F34" s="204" t="s">
        <v>238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 x14ac:dyDescent="0.3">
      <c r="B36" s="5" t="s">
        <v>297</v>
      </c>
      <c r="C36" s="64">
        <f>167848+29500</f>
        <v>197348</v>
      </c>
      <c r="D36" s="65">
        <v>0.2</v>
      </c>
      <c r="E36" s="27">
        <f t="shared" si="3"/>
        <v>39469.600000000006</v>
      </c>
      <c r="F36" s="6"/>
      <c r="G36" s="6"/>
    </row>
    <row r="37" spans="2:10" ht="14" x14ac:dyDescent="0.3">
      <c r="B37" s="5" t="s">
        <v>298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15689</v>
      </c>
      <c r="D38" s="65">
        <v>0.1</v>
      </c>
      <c r="E38" s="27">
        <f t="shared" si="3"/>
        <v>1568.9</v>
      </c>
      <c r="F38" s="6"/>
      <c r="G38" s="6"/>
    </row>
    <row r="39" spans="2:10" ht="15" customHeight="1" x14ac:dyDescent="0.3">
      <c r="B39" s="5" t="s">
        <v>122</v>
      </c>
      <c r="C39" s="64">
        <v>3090</v>
      </c>
      <c r="D39" s="65">
        <v>0.95</v>
      </c>
      <c r="E39" s="27">
        <f t="shared" si="3"/>
        <v>2935.5</v>
      </c>
      <c r="F39" s="6"/>
      <c r="G39" s="6"/>
    </row>
    <row r="40" spans="2:10" ht="15" customHeight="1" x14ac:dyDescent="0.3">
      <c r="B40" s="5" t="s">
        <v>123</v>
      </c>
      <c r="C40" s="64">
        <v>9491</v>
      </c>
      <c r="D40" s="65">
        <v>0.1</v>
      </c>
      <c r="E40" s="27">
        <f t="shared" si="3"/>
        <v>949.1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2712173</v>
      </c>
      <c r="D42" s="14">
        <f>E42/C42</f>
        <v>0.70139782749846713</v>
      </c>
      <c r="E42" s="27">
        <f>SUM(E28:E40)</f>
        <v>1902312.2500000002</v>
      </c>
      <c r="F42" s="6"/>
      <c r="G42" s="6"/>
      <c r="H42" s="5" t="s">
        <v>125</v>
      </c>
      <c r="I42" s="64">
        <v>18638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1666461</v>
      </c>
      <c r="D44" s="68">
        <f>IF(E44=0,0,E44/C44)</f>
        <v>1</v>
      </c>
      <c r="E44" s="27">
        <f>E24+SUM(E28:E29)</f>
        <v>1666461</v>
      </c>
      <c r="F44" s="6"/>
      <c r="G44" s="6"/>
      <c r="H44" s="66" t="s">
        <v>315</v>
      </c>
      <c r="I44" s="69">
        <f>E44/(I46-I15-I32)</f>
        <v>15.835314575672054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4224598</v>
      </c>
      <c r="D45" s="68">
        <f>IF(E45=0,0,E45/C45)</f>
        <v>0.84746933317678985</v>
      </c>
      <c r="E45" s="27">
        <f>E44+(E25-E24)+SUM(E30:E33)</f>
        <v>3580217.25</v>
      </c>
      <c r="F45" s="6"/>
      <c r="G45" s="6"/>
      <c r="H45" s="66" t="s">
        <v>319</v>
      </c>
      <c r="I45" s="69">
        <f>E45/$I$46</f>
        <v>14.114347862082015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4747857</v>
      </c>
      <c r="D46" s="14">
        <f>E46/C46</f>
        <v>0.81892493813524725</v>
      </c>
      <c r="E46" s="27">
        <f>E26+E42</f>
        <v>3888138.5000000005</v>
      </c>
      <c r="F46" s="6"/>
      <c r="G46" s="6"/>
      <c r="H46" s="5" t="s">
        <v>316</v>
      </c>
      <c r="I46" s="155">
        <f>I26+I42</f>
        <v>253658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0</v>
      </c>
      <c r="D50" s="214">
        <f>IF(E50=0, 0,E50/C50)</f>
        <v>0</v>
      </c>
      <c r="E50" s="218">
        <f>MAX(C50,C50*Dashboard!I10)</f>
        <v>0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261</v>
      </c>
      <c r="C52" s="5"/>
      <c r="D52" s="444">
        <f>D53+D54+D55</f>
        <v>105237</v>
      </c>
      <c r="E52" s="445"/>
      <c r="F52" s="53"/>
      <c r="G52" s="53"/>
    </row>
    <row r="53" spans="2:9" ht="14.5" thickTop="1" x14ac:dyDescent="0.3">
      <c r="B53" s="58" t="s">
        <v>231</v>
      </c>
      <c r="C53" s="6"/>
      <c r="D53" s="447">
        <f>SUM(I11:I13)+SUM(I28:I30)</f>
        <v>105237</v>
      </c>
      <c r="E53" s="373"/>
      <c r="F53" s="5"/>
      <c r="G53" s="5"/>
      <c r="H53" s="3" t="s">
        <v>317</v>
      </c>
      <c r="I53" s="14">
        <f>D53/I3</f>
        <v>2.3416186065637057E-2</v>
      </c>
    </row>
    <row r="54" spans="2:9" ht="14" x14ac:dyDescent="0.3">
      <c r="B54" s="58" t="s">
        <v>131</v>
      </c>
      <c r="C54" s="6"/>
      <c r="D54" s="452">
        <v>0</v>
      </c>
      <c r="E54" s="378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52">
        <v>0</v>
      </c>
      <c r="E55" s="378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46"/>
      <c r="E57" s="446"/>
      <c r="F57" s="19"/>
      <c r="G57" s="19"/>
    </row>
    <row r="58" spans="2:9" ht="15" customHeight="1" x14ac:dyDescent="0.3">
      <c r="B58" s="53" t="s">
        <v>232</v>
      </c>
      <c r="C58" s="213">
        <f>C14+C15+(C19*G19)+(C20*G20)+C29+C30+(C31*G31)+(C33*G33)+(C34*G34)+(C35*G35)</f>
        <v>2468318</v>
      </c>
      <c r="D58" s="129">
        <f>IF(E58=0,0,E58/C58)</f>
        <v>0.74257820507730365</v>
      </c>
      <c r="E58" s="221">
        <f>E14+E15+(E19*G19)+(E20*G20)+E29+E30+(E31*G31)+(E33*G33)+(E34*G34)+(E35*G35)</f>
        <v>1832919.15</v>
      </c>
      <c r="H58" s="6"/>
    </row>
    <row r="59" spans="2:9" ht="14" x14ac:dyDescent="0.3">
      <c r="B59" s="53" t="s">
        <v>91</v>
      </c>
      <c r="C59" s="213">
        <f>C11+C12+C28</f>
        <v>1666461</v>
      </c>
      <c r="D59" s="214">
        <f>IF(E59=0,0,E59/C59)</f>
        <v>1</v>
      </c>
      <c r="E59" s="215">
        <f>E11+E12+E28</f>
        <v>1666461</v>
      </c>
      <c r="F59" s="6"/>
      <c r="G59" s="6"/>
    </row>
    <row r="60" spans="2:9" ht="14" x14ac:dyDescent="0.3">
      <c r="B60" s="53" t="s">
        <v>135</v>
      </c>
      <c r="C60" s="6"/>
      <c r="D60" s="450">
        <f>((Dashboard!I6*Data!C4)+D52+E50-C58-C59)</f>
        <v>464164.63935999945</v>
      </c>
      <c r="E60" s="451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260</v>
      </c>
    </row>
    <row r="63" spans="2:9" ht="15" customHeight="1" x14ac:dyDescent="0.3">
      <c r="B63" s="3" t="s">
        <v>263</v>
      </c>
      <c r="D63" s="442">
        <f>((C26-C11-C12-C14-C15-C16*G16-C19*G19-C20*G20)-I26)/Data!C7</f>
        <v>-3.5242098265593776E-2</v>
      </c>
      <c r="E63" s="443"/>
    </row>
    <row r="64" spans="2:9" ht="15" customHeight="1" x14ac:dyDescent="0.3">
      <c r="B64" s="3" t="s">
        <v>262</v>
      </c>
      <c r="D64" s="448">
        <v>1.4E-2</v>
      </c>
      <c r="E64" s="449"/>
      <c r="F64" s="266" t="s">
        <v>247</v>
      </c>
    </row>
    <row r="65" spans="2:5" ht="15" customHeight="1" x14ac:dyDescent="0.3">
      <c r="B65" s="292" t="s">
        <v>264</v>
      </c>
      <c r="D65" s="448">
        <v>1.4E-2</v>
      </c>
      <c r="E65" s="44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C37" sqref="C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244</v>
      </c>
      <c r="C2" s="286" t="s">
        <v>258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246</v>
      </c>
      <c r="E3" s="278">
        <f>EOMONTH(EDATE(C3,12),0)</f>
        <v>44926</v>
      </c>
      <c r="F3" s="28" t="s">
        <v>246</v>
      </c>
      <c r="G3" s="278" t="str">
        <f>IF(G8="","",EOMONTH(EDATE(E3,12),0))</f>
        <v/>
      </c>
      <c r="H3" s="28"/>
      <c r="I3" s="278" t="str">
        <f>IF(I15="","",EOMONTH(EDATE(G3,12),0))</f>
        <v/>
      </c>
      <c r="J3" s="297"/>
      <c r="L3" s="72" t="s">
        <v>136</v>
      </c>
    </row>
    <row r="4" spans="1:13" ht="15.75" customHeight="1" x14ac:dyDescent="0.3">
      <c r="B4" s="293" t="s">
        <v>329</v>
      </c>
      <c r="C4" s="294">
        <v>904</v>
      </c>
      <c r="D4" s="260">
        <f>C4/C7</f>
        <v>1.5465072714924309E-3</v>
      </c>
      <c r="E4" s="294">
        <v>0</v>
      </c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330</v>
      </c>
      <c r="C5" s="294">
        <v>549346</v>
      </c>
      <c r="D5" s="260">
        <f>C5/C7</f>
        <v>0.93978714996159396</v>
      </c>
      <c r="E5" s="294">
        <f>C5*0.7</f>
        <v>384542.19999999995</v>
      </c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293" t="s">
        <v>331</v>
      </c>
      <c r="C6" s="294">
        <v>34293</v>
      </c>
      <c r="D6" s="260">
        <f>C6/C7</f>
        <v>5.866634276691364E-2</v>
      </c>
      <c r="E6" s="294">
        <f>C6*0.7</f>
        <v>24005.1</v>
      </c>
      <c r="F6" s="260"/>
      <c r="G6" s="222"/>
      <c r="H6" s="260"/>
      <c r="I6" s="222"/>
      <c r="J6" s="287"/>
      <c r="K6" s="6"/>
      <c r="L6" s="74"/>
      <c r="M6" s="57"/>
    </row>
    <row r="7" spans="1:13" ht="15.75" customHeight="1" x14ac:dyDescent="0.3">
      <c r="B7" s="5" t="s">
        <v>138</v>
      </c>
      <c r="C7" s="180">
        <f>C4+C5+C6</f>
        <v>584543</v>
      </c>
      <c r="D7" s="259"/>
      <c r="E7" s="338">
        <f>SUM(E4:E6)</f>
        <v>408547.29999999993</v>
      </c>
      <c r="F7" s="259"/>
      <c r="G7" s="338"/>
      <c r="H7" s="259"/>
      <c r="I7" s="228"/>
      <c r="J7" s="288"/>
      <c r="K7" s="6"/>
      <c r="L7" s="74" t="s">
        <v>265</v>
      </c>
      <c r="M7" s="57"/>
    </row>
    <row r="8" spans="1:13" ht="15.75" customHeight="1" x14ac:dyDescent="0.3">
      <c r="B8" s="17" t="s">
        <v>137</v>
      </c>
      <c r="C8" s="187"/>
      <c r="D8" s="261"/>
      <c r="E8" s="18">
        <f>E7/C7-1</f>
        <v>-0.30108255509004478</v>
      </c>
      <c r="F8" s="261"/>
      <c r="G8" s="73"/>
      <c r="H8" s="261"/>
      <c r="I8" s="73"/>
      <c r="J8" s="328"/>
      <c r="K8" s="6"/>
      <c r="L8" s="74"/>
      <c r="M8" s="57"/>
    </row>
    <row r="9" spans="1:13" ht="15.75" customHeight="1" x14ac:dyDescent="0.3">
      <c r="B9" s="8" t="s">
        <v>139</v>
      </c>
      <c r="C9" s="181">
        <v>252590</v>
      </c>
      <c r="D9" s="262"/>
      <c r="E9" s="227">
        <f>E7*(1-E10)</f>
        <v>176533.28832999998</v>
      </c>
      <c r="F9" s="262"/>
      <c r="G9" s="282" t="str">
        <f>IF(G7="","",G7*(1-G10))</f>
        <v/>
      </c>
      <c r="H9" s="262"/>
      <c r="I9" s="282" t="str">
        <f>IF(I7="","",I7*(1-I10))</f>
        <v/>
      </c>
      <c r="J9" s="329"/>
      <c r="K9" s="6"/>
      <c r="L9" s="116"/>
      <c r="M9" s="1"/>
    </row>
    <row r="10" spans="1:13" ht="15.75" customHeight="1" x14ac:dyDescent="0.3">
      <c r="B10" s="17" t="s">
        <v>48</v>
      </c>
      <c r="C10" s="186">
        <f>(C7-C9)/C7</f>
        <v>0.56788465519217579</v>
      </c>
      <c r="D10" s="186"/>
      <c r="E10" s="73">
        <v>0.56789999999999996</v>
      </c>
      <c r="F10" s="186"/>
      <c r="G10" s="73"/>
      <c r="H10" s="186"/>
      <c r="I10" s="73"/>
      <c r="J10" s="330"/>
      <c r="K10" s="6"/>
      <c r="L10" s="74"/>
    </row>
    <row r="11" spans="1:13" ht="15.75" customHeight="1" x14ac:dyDescent="0.3">
      <c r="B11" s="5" t="s">
        <v>140</v>
      </c>
      <c r="C11" s="27">
        <f>C7-C9</f>
        <v>331953</v>
      </c>
      <c r="D11" s="27"/>
      <c r="E11" s="27">
        <f>E7-E9</f>
        <v>232014.01166999995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3">
      <c r="B12" s="17" t="s">
        <v>50</v>
      </c>
      <c r="C12" s="189">
        <f>C13/C7</f>
        <v>0.76959949909587488</v>
      </c>
      <c r="D12" s="189"/>
      <c r="E12" s="226">
        <f>E13/E7</f>
        <v>1.1011307625824478</v>
      </c>
      <c r="F12" s="189"/>
      <c r="G12" s="65"/>
      <c r="H12" s="189"/>
      <c r="I12" s="65"/>
      <c r="J12" s="331"/>
      <c r="K12" s="6"/>
      <c r="L12" s="74"/>
    </row>
    <row r="13" spans="1:13" ht="15.75" customHeight="1" x14ac:dyDescent="0.3">
      <c r="B13" s="8" t="s">
        <v>141</v>
      </c>
      <c r="C13" s="183">
        <f>330088+119776</f>
        <v>449864</v>
      </c>
      <c r="D13" s="263"/>
      <c r="E13" s="76">
        <f>C13</f>
        <v>449864</v>
      </c>
      <c r="F13" s="263"/>
      <c r="G13" s="76"/>
      <c r="H13" s="263"/>
      <c r="I13" s="76"/>
      <c r="J13" s="332"/>
      <c r="K13" s="6"/>
      <c r="L13" s="74"/>
    </row>
    <row r="14" spans="1:13" ht="15.75" customHeight="1" x14ac:dyDescent="0.3">
      <c r="B14" s="17" t="s">
        <v>51</v>
      </c>
      <c r="C14" s="18">
        <f>C16/C7</f>
        <v>-0.20171484390369912</v>
      </c>
      <c r="D14" s="18"/>
      <c r="E14" s="18">
        <f>E16/E7</f>
        <v>-0.53323076258244784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 x14ac:dyDescent="0.3">
      <c r="B15" s="17" t="s">
        <v>142</v>
      </c>
      <c r="C15" s="188"/>
      <c r="D15" s="264"/>
      <c r="E15" s="14">
        <f>IF(ABS(C16+E16)=ABS(C16)+ABS(E16),IF(E16&lt;0,-1,1)*(E16-C16)/C16,"Turn")</f>
        <v>-0.84757985539941183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3"/>
      <c r="K15" s="6"/>
      <c r="L15" s="77"/>
      <c r="M15" s="78"/>
    </row>
    <row r="16" spans="1:13" ht="15.75" customHeight="1" x14ac:dyDescent="0.3">
      <c r="B16" s="134" t="s">
        <v>242</v>
      </c>
      <c r="C16" s="320">
        <f>C11-C13</f>
        <v>-117911</v>
      </c>
      <c r="D16" s="321"/>
      <c r="E16" s="320">
        <f>E11-E13</f>
        <v>-217849.98833000005</v>
      </c>
      <c r="F16" s="321"/>
      <c r="G16" s="320" t="str">
        <f>IF(G8="","",G11-G13)</f>
        <v/>
      </c>
      <c r="H16" s="321"/>
      <c r="I16" s="320" t="str">
        <f>IF(I8="","",I11-I13)</f>
        <v/>
      </c>
      <c r="J16" s="334"/>
      <c r="K16" s="6"/>
      <c r="L16" s="79"/>
      <c r="M16" s="56"/>
    </row>
    <row r="17" spans="2:10" ht="15.75" customHeight="1" x14ac:dyDescent="0.3">
      <c r="B17" s="316" t="s">
        <v>143</v>
      </c>
      <c r="C17" s="317">
        <v>0.25</v>
      </c>
      <c r="D17" s="318"/>
      <c r="E17" s="319">
        <f>IF(E16="","",C17)</f>
        <v>0.25</v>
      </c>
      <c r="F17" s="319"/>
      <c r="G17" s="319" t="str">
        <f>IF(G16="","",E17)</f>
        <v/>
      </c>
      <c r="H17" s="319"/>
      <c r="I17" s="319" t="str">
        <f>IF(I16="","",G17)</f>
        <v/>
      </c>
      <c r="J17" s="335"/>
    </row>
    <row r="18" spans="2:10" ht="15.75" customHeight="1" x14ac:dyDescent="0.3">
      <c r="B18" s="325" t="s">
        <v>300</v>
      </c>
      <c r="C18" s="264">
        <f>C19/C9</f>
        <v>-0.46680787046201355</v>
      </c>
      <c r="D18" s="327"/>
      <c r="E18" s="326">
        <f>E19/E9</f>
        <v>-1.2340448104199209</v>
      </c>
      <c r="F18" s="326"/>
      <c r="G18" s="326" t="str">
        <f>IF(G9="","",G19/G9)</f>
        <v/>
      </c>
      <c r="H18" s="326"/>
      <c r="I18" s="326" t="str">
        <f>IF(I9="","",I19/I9)</f>
        <v/>
      </c>
      <c r="J18" s="336"/>
    </row>
    <row r="19" spans="2:10" ht="15.75" customHeight="1" x14ac:dyDescent="0.3">
      <c r="B19" s="322" t="s">
        <v>80</v>
      </c>
      <c r="C19" s="323">
        <f>IF(C16&lt;=0,C16,C16*(1-C17))</f>
        <v>-117911</v>
      </c>
      <c r="D19" s="323"/>
      <c r="E19" s="324">
        <f>IF(E16="","",IF(E16&lt;=0,E16,E16*(1-E17)))</f>
        <v>-217849.98833000005</v>
      </c>
      <c r="F19" s="323"/>
      <c r="G19" s="324" t="str">
        <f>IF(G16="","",IF(G16&lt;=0,G16,G16*(1-G17)))</f>
        <v/>
      </c>
      <c r="H19" s="323"/>
      <c r="I19" s="324" t="str">
        <f>IF(I16="","",IF(I16&lt;=0,I16,I16*(1-I17)))</f>
        <v/>
      </c>
      <c r="J19" s="337"/>
    </row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G14:H16 H13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0" sqref="C3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6" t="s">
        <v>258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256</v>
      </c>
      <c r="I3" s="72" t="s">
        <v>136</v>
      </c>
    </row>
    <row r="4" spans="1:10" ht="15.75" customHeight="1" x14ac:dyDescent="0.3">
      <c r="B4" s="5" t="s">
        <v>80</v>
      </c>
      <c r="C4" s="182">
        <f>Operation!C19</f>
        <v>-117911</v>
      </c>
      <c r="D4" s="45">
        <f>Operation!E19</f>
        <v>-217849.98833000005</v>
      </c>
      <c r="E4" s="45" t="str">
        <f>Operation!G19</f>
        <v/>
      </c>
      <c r="F4" s="201" t="str">
        <f>Operation!I19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272</v>
      </c>
      <c r="C5" s="257"/>
      <c r="D5" s="258">
        <f>D4/C4-1</f>
        <v>0.84757985539941183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0.05</v>
      </c>
      <c r="D6" s="226">
        <v>0.05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266</v>
      </c>
      <c r="C7" s="310">
        <f>C4*C6</f>
        <v>-5895.55</v>
      </c>
      <c r="D7" s="310">
        <f>D4*D6</f>
        <v>-10892.499416500003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-112015.45</v>
      </c>
      <c r="D8" s="191">
        <f>D4-D7</f>
        <v>-206957.48891350004</v>
      </c>
      <c r="E8" s="191" t="str">
        <f>IF(E4="","",E4-E7)</f>
        <v/>
      </c>
      <c r="F8" s="191" t="str">
        <f>IF(F4="","",F4-F7)</f>
        <v/>
      </c>
      <c r="G8" s="229">
        <f>IF(F4="",IF(E4="",D8,E8),F8)</f>
        <v>-206957.48891350004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-6.1320871413013588E-2</v>
      </c>
      <c r="D9" s="306">
        <f>D8/(Common_Shares/Data!$C$4)</f>
        <v>-0.11329520673822158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-0.11329520673822158</v>
      </c>
      <c r="H9" s="82"/>
      <c r="I9" s="56"/>
      <c r="J9" s="56"/>
    </row>
    <row r="10" spans="1:10" ht="15.75" customHeight="1" x14ac:dyDescent="0.3">
      <c r="B10" s="234" t="s">
        <v>243</v>
      </c>
      <c r="C10" s="312">
        <f>C11/C9</f>
        <v>-0.55446048329940212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257</v>
      </c>
      <c r="C11" s="284">
        <v>3.4000000000000002E-2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273</v>
      </c>
      <c r="C12" s="236">
        <v>0</v>
      </c>
      <c r="D12" s="236">
        <v>0</v>
      </c>
      <c r="E12" s="346"/>
      <c r="F12" s="346"/>
      <c r="G12" s="230">
        <f>G9*D27</f>
        <v>-1.1329520673822158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0.06</v>
      </c>
      <c r="E13" s="18" t="str">
        <f>IF(E4="","",D13)</f>
        <v/>
      </c>
      <c r="F13" s="18" t="str">
        <f>IF(F4="","",D13)</f>
        <v/>
      </c>
      <c r="G13" s="231">
        <f ca="1">Dashboard!C12</f>
        <v>0.06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1.06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1.1236000000000002</v>
      </c>
      <c r="H14" s="62"/>
      <c r="I14" s="57"/>
      <c r="J14" s="57"/>
    </row>
    <row r="15" spans="1:10" ht="15.75" customHeight="1" thickTop="1" x14ac:dyDescent="0.3">
      <c r="B15" s="8" t="s">
        <v>296</v>
      </c>
      <c r="C15" s="237">
        <f>C12</f>
        <v>0</v>
      </c>
      <c r="D15" s="195">
        <f ca="1">IF(D12="","",MAX(D9-D11+D12,D12)/D14)</f>
        <v>0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-1.0083233066769453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1000HKD)</v>
      </c>
      <c r="E17" s="72" t="s">
        <v>217</v>
      </c>
    </row>
    <row r="18" spans="1:9" ht="15.75" customHeight="1" x14ac:dyDescent="0.3">
      <c r="B18" s="58" t="s">
        <v>236</v>
      </c>
      <c r="C18" s="84">
        <f>Asset_Model!E59</f>
        <v>1666461</v>
      </c>
      <c r="D18" s="219">
        <f>C18/(Dashboard!I5/Data!C4)</f>
        <v>0.91227451834369311</v>
      </c>
      <c r="E18" s="85" t="s">
        <v>233</v>
      </c>
      <c r="G18" s="137">
        <f>C18+C19+C20+C21</f>
        <v>3394143.15</v>
      </c>
    </row>
    <row r="19" spans="1:9" ht="15.75" customHeight="1" x14ac:dyDescent="0.3">
      <c r="B19" s="58" t="s">
        <v>240</v>
      </c>
      <c r="C19" s="84">
        <f>Asset_Model!E58</f>
        <v>1832919.15</v>
      </c>
      <c r="D19" s="219">
        <f>C19/(Dashboard!I5/Data!C4)</f>
        <v>1.0033990802840158</v>
      </c>
      <c r="E19" s="85" t="s">
        <v>234</v>
      </c>
      <c r="G19" s="197">
        <f>(G18+MIN(D4,0))*Data!C$4/Dashboard!I5</f>
        <v>1.7388053570895838</v>
      </c>
    </row>
    <row r="20" spans="1:9" ht="15.75" customHeight="1" x14ac:dyDescent="0.3">
      <c r="B20" s="58" t="s">
        <v>218</v>
      </c>
      <c r="C20" s="84">
        <f>-Asset_Model!D52</f>
        <v>-105237</v>
      </c>
      <c r="D20" s="219">
        <f>C20/(Dashboard!I5/Data!C4)</f>
        <v>-5.7610129182102211E-2</v>
      </c>
      <c r="E20" s="455" t="str">
        <f>IF(F21+G21=G19,"⇒","Error!")</f>
        <v>Error!</v>
      </c>
      <c r="F20" s="146" t="s">
        <v>241</v>
      </c>
      <c r="G20" s="87" t="s">
        <v>23</v>
      </c>
    </row>
    <row r="21" spans="1:9" ht="15.75" customHeight="1" x14ac:dyDescent="0.3">
      <c r="B21" s="85" t="s">
        <v>235</v>
      </c>
      <c r="C21" s="84">
        <f>-Asset_Model!E50</f>
        <v>0</v>
      </c>
      <c r="D21" s="219">
        <f>C21/(Dashboard!I5/Data!C4)</f>
        <v>0</v>
      </c>
      <c r="E21" s="455"/>
      <c r="F21" s="148">
        <f>D18</f>
        <v>0.91227451834369311</v>
      </c>
      <c r="G21" s="147">
        <f>SUM(D19:D21)</f>
        <v>0.94578895110191363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1000HKD)</v>
      </c>
      <c r="E23" s="459" t="s">
        <v>226</v>
      </c>
      <c r="F23" s="459"/>
      <c r="G23" s="459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5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3">
      <c r="B25" s="30" t="s">
        <v>294</v>
      </c>
      <c r="C25" s="14">
        <f>1/D25</f>
        <v>0.125</v>
      </c>
      <c r="D25" s="298">
        <v>8</v>
      </c>
      <c r="E25" s="206">
        <f ca="1">G9*D25/G14</f>
        <v>-0.80665864534155618</v>
      </c>
      <c r="F25" s="456">
        <f ca="1">SUM(C15:F15)</f>
        <v>0</v>
      </c>
      <c r="G25" s="206">
        <f ca="1">$F$25+E25+$G$19</f>
        <v>0.93214671174802766</v>
      </c>
      <c r="I25" s="74"/>
    </row>
    <row r="26" spans="1:9" ht="15.75" customHeight="1" x14ac:dyDescent="0.3">
      <c r="B26" s="30" t="s">
        <v>295</v>
      </c>
      <c r="C26" s="350">
        <f>1/D26</f>
        <v>0.1111111111111111</v>
      </c>
      <c r="D26" s="351">
        <v>9</v>
      </c>
      <c r="E26" s="352">
        <f ca="1">G9*D26/G14</f>
        <v>-0.90749097600925066</v>
      </c>
      <c r="F26" s="457"/>
      <c r="G26" s="352">
        <f ca="1">$F$25+E26+$G$19</f>
        <v>0.83131438108033318</v>
      </c>
      <c r="I26" s="74"/>
    </row>
    <row r="27" spans="1:9" ht="15.75" customHeight="1" x14ac:dyDescent="0.3">
      <c r="B27" s="302" t="s">
        <v>302</v>
      </c>
      <c r="C27" s="303">
        <f t="shared" ref="C27" si="0">1/D27</f>
        <v>0.1</v>
      </c>
      <c r="D27" s="315">
        <v>10</v>
      </c>
      <c r="E27" s="207">
        <f ca="1">G9*D27/G14</f>
        <v>-1.0083233066769453</v>
      </c>
      <c r="F27" s="458"/>
      <c r="G27" s="207">
        <f ca="1">$F$25+E27+$G$19</f>
        <v>0.73048205041263858</v>
      </c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147</v>
      </c>
      <c r="C30" s="252">
        <f ca="1">MIN(Asset_Model!D7,G25*Exchange_Rate)+(ABS(Asset_Model!D7-G25*Exchange_Rate)*'Qualitative Analysis'!E8)</f>
        <v>1.5044652214049168</v>
      </c>
      <c r="D30" s="23" t="str">
        <f ca="1">IF(C30&lt;E30,"&lt;",IF(C30=E30,"=","&gt;"))</f>
        <v>&lt;</v>
      </c>
      <c r="E30" s="251">
        <f ca="1">MAX(G26*Exchange_Rate, G19*Exchange_Rate)</f>
        <v>1.7388053570895838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3" t="s">
        <v>148</v>
      </c>
      <c r="D32" s="454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228</v>
      </c>
      <c r="C33" s="253">
        <f ca="1">MAX(MIN(C30,E30)+ABS(C30-E30)*'Qualitative Analysis'!$E$64, G19*Exchange_Rate)</f>
        <v>1.7388053570895838</v>
      </c>
      <c r="D33" s="119" t="str">
        <f>Dashboard!J4</f>
        <v>HKD</v>
      </c>
      <c r="E33" s="120">
        <f ca="1">(C33-G19)/C9</f>
        <v>0</v>
      </c>
      <c r="F33" s="158">
        <f ca="1">C33/(Data!C28*Exchange_Rate*Data!C4/Common_Shares)</f>
        <v>0.60331262550109155</v>
      </c>
      <c r="G33" s="87"/>
      <c r="H33" s="6"/>
      <c r="I33" s="74"/>
    </row>
    <row r="34" spans="2:9" ht="15.75" customHeight="1" x14ac:dyDescent="0.3">
      <c r="B34" s="255" t="s">
        <v>227</v>
      </c>
      <c r="C34" s="254">
        <f ca="1">MAX(Asset_Model!D7,(G12/(1+G34)^G4+F25+G19)*Exchange_Rate)</f>
        <v>1.8703737767593214</v>
      </c>
      <c r="D34" s="208" t="str">
        <f>D33</f>
        <v>HKD</v>
      </c>
      <c r="E34" s="120">
        <f ca="1">(C34-G19)/C9</f>
        <v>-2.1455732222653303</v>
      </c>
      <c r="F34" s="158">
        <f ca="1">C34/(Data!C28*Exchange_Rate*Data!C4/Common_Shares)</f>
        <v>0.64896286943457016</v>
      </c>
      <c r="G34" s="281">
        <f>Dashboard!D10+4.5%</f>
        <v>8.3159999999999998E-2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61" sqref="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277</v>
      </c>
      <c r="C3" s="96"/>
      <c r="D3" s="94">
        <f>IF(E3="Strongly disagree",0,IF(E3="disagree",1,IF(E3="unclear",2,IF(E3="agree",3,4))))</f>
        <v>3</v>
      </c>
      <c r="E3" s="31" t="s">
        <v>151</v>
      </c>
      <c r="G3" s="79" t="s">
        <v>303</v>
      </c>
    </row>
    <row r="4" spans="1:7" ht="14" x14ac:dyDescent="0.3">
      <c r="B4" s="6" t="s">
        <v>279</v>
      </c>
      <c r="C4" s="96"/>
      <c r="D4" s="94">
        <f t="shared" ref="D4" si="0">IF(E4="Strongly disagree",0,IF(E4="disagree",1,IF(E4="unclear",2,IF(E4="agree",3,4))))</f>
        <v>3</v>
      </c>
      <c r="E4" s="31" t="s">
        <v>151</v>
      </c>
      <c r="G4" s="77"/>
    </row>
    <row r="5" spans="1:7" ht="14" x14ac:dyDescent="0.3">
      <c r="B5" s="6" t="s">
        <v>274</v>
      </c>
      <c r="C5" s="96"/>
      <c r="D5" s="94">
        <f>AVERAGE(D12:D16)</f>
        <v>1.8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275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276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152</v>
      </c>
      <c r="C8" s="96"/>
      <c r="D8" s="94">
        <f>AVERAGE(D3:D7)</f>
        <v>2.44</v>
      </c>
      <c r="E8" s="98">
        <f>D8/4</f>
        <v>0.61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5"/>
    </row>
    <row r="11" spans="1:7" ht="15" customHeight="1" x14ac:dyDescent="0.3">
      <c r="B11" s="99" t="s">
        <v>154</v>
      </c>
      <c r="C11" s="93"/>
      <c r="E11" s="6"/>
      <c r="G11" s="295"/>
    </row>
    <row r="12" spans="1:7" ht="15" customHeight="1" x14ac:dyDescent="0.3">
      <c r="B12" s="53" t="s">
        <v>278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5" t="s">
        <v>304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2</v>
      </c>
      <c r="E13" s="31" t="s">
        <v>150</v>
      </c>
      <c r="F13" s="6"/>
      <c r="G13" s="295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2</v>
      </c>
      <c r="E14" s="31" t="s">
        <v>150</v>
      </c>
      <c r="F14" s="6"/>
      <c r="G14" s="295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3</v>
      </c>
      <c r="E15" s="31" t="s">
        <v>151</v>
      </c>
      <c r="F15" s="6"/>
      <c r="G15" s="295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2</v>
      </c>
      <c r="E16" s="31" t="s">
        <v>150</v>
      </c>
      <c r="F16" s="6"/>
      <c r="G16" s="295"/>
    </row>
    <row r="17" spans="2:7" ht="15" customHeight="1" x14ac:dyDescent="0.3">
      <c r="B17" s="99" t="s">
        <v>161</v>
      </c>
      <c r="D17" s="38"/>
      <c r="E17" s="23"/>
      <c r="G17" s="295"/>
    </row>
    <row r="18" spans="2:7" ht="15" customHeight="1" x14ac:dyDescent="0.3">
      <c r="B18" s="53" t="s">
        <v>299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5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1</v>
      </c>
      <c r="E19" s="31" t="s">
        <v>158</v>
      </c>
      <c r="F19" s="6"/>
      <c r="G19" s="295"/>
    </row>
    <row r="20" spans="2:7" ht="15" customHeight="1" x14ac:dyDescent="0.3">
      <c r="B20" s="53" t="s">
        <v>163</v>
      </c>
      <c r="D20" s="100">
        <f t="shared" si="1"/>
        <v>2</v>
      </c>
      <c r="E20" s="31" t="s">
        <v>150</v>
      </c>
      <c r="F20" s="6"/>
      <c r="G20" s="295"/>
    </row>
    <row r="21" spans="2:7" ht="15" customHeight="1" x14ac:dyDescent="0.3">
      <c r="B21" s="53" t="s">
        <v>164</v>
      </c>
      <c r="D21" s="100">
        <f t="shared" si="1"/>
        <v>2</v>
      </c>
      <c r="E21" s="31" t="s">
        <v>150</v>
      </c>
      <c r="F21" s="6"/>
      <c r="G21" s="295"/>
    </row>
    <row r="22" spans="2:7" ht="15" customHeight="1" x14ac:dyDescent="0.3">
      <c r="B22" s="53" t="s">
        <v>165</v>
      </c>
      <c r="D22" s="100">
        <f t="shared" si="1"/>
        <v>4</v>
      </c>
      <c r="E22" s="31" t="s">
        <v>160</v>
      </c>
      <c r="F22" s="6"/>
      <c r="G22" s="295"/>
    </row>
    <row r="23" spans="2:7" ht="15" customHeight="1" x14ac:dyDescent="0.3">
      <c r="B23" s="99" t="s">
        <v>166</v>
      </c>
      <c r="D23" s="38"/>
      <c r="E23" s="23"/>
      <c r="G23" s="295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5"/>
    </row>
    <row r="25" spans="2:7" ht="15" customHeight="1" x14ac:dyDescent="0.3">
      <c r="B25" s="53" t="s">
        <v>168</v>
      </c>
      <c r="D25" s="100">
        <f t="shared" si="2"/>
        <v>3</v>
      </c>
      <c r="E25" s="31" t="s">
        <v>151</v>
      </c>
      <c r="F25" s="6"/>
      <c r="G25" s="295"/>
    </row>
    <row r="26" spans="2:7" ht="15" customHeight="1" x14ac:dyDescent="0.3">
      <c r="B26" s="53" t="s">
        <v>280</v>
      </c>
      <c r="D26" s="100">
        <f t="shared" si="2"/>
        <v>2</v>
      </c>
      <c r="E26" s="31" t="s">
        <v>150</v>
      </c>
      <c r="F26" s="6"/>
      <c r="G26" s="295"/>
    </row>
    <row r="27" spans="2:7" ht="15" customHeight="1" x14ac:dyDescent="0.3">
      <c r="B27" s="53" t="s">
        <v>281</v>
      </c>
      <c r="D27" s="100">
        <f t="shared" si="2"/>
        <v>2</v>
      </c>
      <c r="E27" s="31" t="s">
        <v>150</v>
      </c>
      <c r="F27" s="6"/>
      <c r="G27" s="295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5"/>
    </row>
    <row r="29" spans="2:7" ht="15" customHeight="1" x14ac:dyDescent="0.3">
      <c r="B29" s="99" t="s">
        <v>170</v>
      </c>
      <c r="D29" s="38"/>
      <c r="E29" s="23"/>
      <c r="G29" s="295"/>
    </row>
    <row r="30" spans="2:7" ht="15" customHeight="1" x14ac:dyDescent="0.3">
      <c r="B30" s="1" t="s">
        <v>171</v>
      </c>
      <c r="D30" s="103">
        <f>SUM(D31:D35)/(5*4)</f>
        <v>0.25</v>
      </c>
      <c r="E30" s="49" t="str">
        <f>IF(D30&gt;80%,"Very High",IF(D30&lt;=20%,"Very Low",IF(D30&lt;=40%,"Low",IF(D30&lt;=60%,"Medium","High"))))</f>
        <v>Low</v>
      </c>
      <c r="F30" s="6"/>
      <c r="G30" s="295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2</v>
      </c>
      <c r="E31" s="31" t="s">
        <v>150</v>
      </c>
      <c r="F31" s="6"/>
      <c r="G31" s="295"/>
    </row>
    <row r="32" spans="2:7" ht="15" customHeight="1" x14ac:dyDescent="0.3">
      <c r="B32" s="53" t="s">
        <v>282</v>
      </c>
      <c r="D32" s="100">
        <f t="shared" si="3"/>
        <v>1</v>
      </c>
      <c r="E32" s="31" t="s">
        <v>158</v>
      </c>
      <c r="F32" s="6"/>
      <c r="G32" s="295"/>
    </row>
    <row r="33" spans="2:7" ht="15" customHeight="1" x14ac:dyDescent="0.3">
      <c r="B33" s="53" t="s">
        <v>283</v>
      </c>
      <c r="D33" s="100">
        <f t="shared" si="3"/>
        <v>0</v>
      </c>
      <c r="E33" s="31" t="s">
        <v>173</v>
      </c>
      <c r="F33" s="6"/>
      <c r="G33" s="295"/>
    </row>
    <row r="34" spans="2:7" ht="15" customHeight="1" x14ac:dyDescent="0.3">
      <c r="B34" s="53" t="s">
        <v>284</v>
      </c>
      <c r="D34" s="100">
        <f t="shared" si="3"/>
        <v>0</v>
      </c>
      <c r="E34" s="31" t="s">
        <v>173</v>
      </c>
      <c r="F34" s="6"/>
      <c r="G34" s="295"/>
    </row>
    <row r="35" spans="2:7" ht="15" customHeight="1" x14ac:dyDescent="0.3">
      <c r="B35" s="53" t="s">
        <v>301</v>
      </c>
      <c r="D35" s="100">
        <f t="shared" si="3"/>
        <v>2</v>
      </c>
      <c r="E35" s="31" t="s">
        <v>150</v>
      </c>
      <c r="G35" s="295"/>
    </row>
    <row r="36" spans="2:7" ht="15" customHeight="1" x14ac:dyDescent="0.3">
      <c r="B36" s="1" t="s">
        <v>174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5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2</v>
      </c>
      <c r="E37" s="31" t="s">
        <v>150</v>
      </c>
      <c r="F37" s="6"/>
      <c r="G37" s="295"/>
    </row>
    <row r="38" spans="2:7" ht="15" customHeight="1" x14ac:dyDescent="0.3">
      <c r="B38" s="53" t="s">
        <v>285</v>
      </c>
      <c r="D38" s="100">
        <f t="shared" si="4"/>
        <v>0</v>
      </c>
      <c r="E38" s="31" t="s">
        <v>173</v>
      </c>
      <c r="F38" s="6"/>
      <c r="G38" s="295"/>
    </row>
    <row r="39" spans="2:7" ht="15" customHeight="1" x14ac:dyDescent="0.3">
      <c r="B39" s="53" t="s">
        <v>286</v>
      </c>
      <c r="D39" s="100">
        <f t="shared" si="4"/>
        <v>0</v>
      </c>
      <c r="E39" s="31" t="s">
        <v>173</v>
      </c>
      <c r="F39" s="6"/>
      <c r="G39" s="295"/>
    </row>
    <row r="40" spans="2:7" ht="15" customHeight="1" x14ac:dyDescent="0.3">
      <c r="B40" s="53" t="s">
        <v>287</v>
      </c>
      <c r="D40" s="100">
        <f t="shared" si="4"/>
        <v>4</v>
      </c>
      <c r="E40" s="31" t="s">
        <v>160</v>
      </c>
      <c r="F40" s="6"/>
      <c r="G40" s="295"/>
    </row>
    <row r="41" spans="2:7" ht="15" customHeight="1" x14ac:dyDescent="0.3">
      <c r="B41" s="53" t="s">
        <v>288</v>
      </c>
      <c r="D41" s="100">
        <f t="shared" si="4"/>
        <v>4</v>
      </c>
      <c r="E41" s="31" t="s">
        <v>160</v>
      </c>
      <c r="G41" s="295"/>
    </row>
    <row r="42" spans="2:7" ht="15" customHeight="1" x14ac:dyDescent="0.3">
      <c r="B42" s="1" t="s">
        <v>176</v>
      </c>
      <c r="D42" s="10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95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3</v>
      </c>
      <c r="E43" s="31" t="s">
        <v>151</v>
      </c>
      <c r="F43" s="6"/>
      <c r="G43" s="295"/>
    </row>
    <row r="44" spans="2:7" ht="15" customHeight="1" x14ac:dyDescent="0.3">
      <c r="B44" s="53" t="s">
        <v>178</v>
      </c>
      <c r="D44" s="100">
        <f t="shared" si="5"/>
        <v>0</v>
      </c>
      <c r="E44" s="31" t="s">
        <v>173</v>
      </c>
      <c r="F44" s="6"/>
      <c r="G44" s="295"/>
    </row>
    <row r="45" spans="2:7" ht="15" customHeight="1" x14ac:dyDescent="0.3">
      <c r="B45" s="53" t="s">
        <v>179</v>
      </c>
      <c r="D45" s="100">
        <f t="shared" si="5"/>
        <v>4</v>
      </c>
      <c r="E45" s="31" t="s">
        <v>160</v>
      </c>
      <c r="F45" s="6"/>
      <c r="G45" s="295"/>
    </row>
    <row r="46" spans="2:7" ht="15" customHeight="1" x14ac:dyDescent="0.3">
      <c r="B46" s="53" t="s">
        <v>180</v>
      </c>
      <c r="D46" s="100">
        <f t="shared" si="5"/>
        <v>2</v>
      </c>
      <c r="E46" s="31" t="s">
        <v>150</v>
      </c>
      <c r="F46" s="6"/>
      <c r="G46" s="295" t="s">
        <v>305</v>
      </c>
    </row>
    <row r="47" spans="2:7" ht="15" customHeight="1" x14ac:dyDescent="0.3">
      <c r="B47" s="53" t="s">
        <v>181</v>
      </c>
      <c r="D47" s="100">
        <f t="shared" si="5"/>
        <v>3</v>
      </c>
      <c r="E47" s="31" t="s">
        <v>151</v>
      </c>
      <c r="F47" s="6"/>
      <c r="G47" s="295"/>
    </row>
    <row r="48" spans="2:7" ht="15" customHeight="1" x14ac:dyDescent="0.3">
      <c r="B48" s="53" t="s">
        <v>207</v>
      </c>
      <c r="D48" s="100">
        <f t="shared" si="5"/>
        <v>0</v>
      </c>
      <c r="E48" s="31" t="s">
        <v>173</v>
      </c>
      <c r="F48" s="6"/>
      <c r="G48" s="295"/>
    </row>
    <row r="49" spans="2:8" ht="15" customHeight="1" x14ac:dyDescent="0.3">
      <c r="B49" s="1" t="s">
        <v>182</v>
      </c>
      <c r="D49" s="103">
        <f>SUM(D50:D54)/(5*4)</f>
        <v>0.30510204081632653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5"/>
    </row>
    <row r="51" spans="2:8" ht="15" customHeight="1" x14ac:dyDescent="0.3">
      <c r="B51" s="53" t="s">
        <v>184</v>
      </c>
      <c r="D51" s="100">
        <f t="shared" si="6"/>
        <v>0</v>
      </c>
      <c r="E51" s="31" t="s">
        <v>173</v>
      </c>
      <c r="F51" s="6"/>
      <c r="G51" s="295"/>
    </row>
    <row r="52" spans="2:8" ht="15" customHeight="1" x14ac:dyDescent="0.3">
      <c r="B52" s="53" t="s">
        <v>289</v>
      </c>
      <c r="D52" s="100">
        <f t="shared" si="6"/>
        <v>2</v>
      </c>
      <c r="E52" s="31" t="s">
        <v>150</v>
      </c>
      <c r="G52" s="295"/>
    </row>
    <row r="53" spans="2:8" ht="15" customHeight="1" x14ac:dyDescent="0.3">
      <c r="B53" s="53" t="s">
        <v>290</v>
      </c>
      <c r="D53" s="100">
        <f>IF(E53="Strongly disagree",0,IF(E53="disagree",1,IF(E53="unclear",2,IF(E53="agree",3,4))))</f>
        <v>1</v>
      </c>
      <c r="E53" s="31" t="s">
        <v>158</v>
      </c>
      <c r="F53" s="53"/>
      <c r="G53" s="295"/>
      <c r="H53" s="53"/>
    </row>
    <row r="54" spans="2:8" ht="15" customHeight="1" x14ac:dyDescent="0.3">
      <c r="B54" s="53" t="s">
        <v>291</v>
      </c>
      <c r="D54" s="104">
        <f t="array" ref="D54">(1-INDEX(B68:E77,MATCH(E54,B68:B77,0),4))*4</f>
        <v>3.1020408163265305</v>
      </c>
      <c r="E54" s="31" t="s">
        <v>269</v>
      </c>
      <c r="F54" s="53"/>
      <c r="G54" s="295"/>
      <c r="H54" s="53"/>
    </row>
    <row r="55" spans="2:8" ht="15" customHeight="1" x14ac:dyDescent="0.3">
      <c r="B55" s="1" t="s">
        <v>185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5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3</v>
      </c>
      <c r="E56" s="31" t="s">
        <v>151</v>
      </c>
      <c r="F56" s="53"/>
      <c r="G56" s="295"/>
      <c r="H56" s="53"/>
    </row>
    <row r="57" spans="2:8" ht="15" customHeight="1" x14ac:dyDescent="0.3">
      <c r="B57" s="53" t="s">
        <v>187</v>
      </c>
      <c r="D57" s="100">
        <f t="shared" si="7"/>
        <v>1</v>
      </c>
      <c r="E57" s="31" t="s">
        <v>158</v>
      </c>
      <c r="F57" s="53"/>
      <c r="G57" s="295"/>
      <c r="H57" s="53"/>
    </row>
    <row r="58" spans="2:8" ht="15" customHeight="1" x14ac:dyDescent="0.3">
      <c r="B58" s="53" t="s">
        <v>208</v>
      </c>
      <c r="D58" s="100">
        <f t="shared" si="7"/>
        <v>1</v>
      </c>
      <c r="E58" s="31" t="s">
        <v>158</v>
      </c>
      <c r="F58" s="53"/>
      <c r="G58" s="295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5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5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2</v>
      </c>
      <c r="E61" s="31" t="s">
        <v>270</v>
      </c>
      <c r="F61" s="53"/>
      <c r="G61" s="295"/>
      <c r="H61" s="53"/>
    </row>
    <row r="62" spans="2:8" ht="15" customHeight="1" x14ac:dyDescent="0.3">
      <c r="B62" s="146" t="s">
        <v>188</v>
      </c>
      <c r="D62" s="126">
        <f>1-AVERAGE(D30,D36,D42,D49,D55)</f>
        <v>0.56397959183673474</v>
      </c>
      <c r="E62" s="49" t="str">
        <f>IF(D62&gt;80%,"Very Low",IF(D62&lt;=20%,"Very High",IF(D62&lt;=40%,"High",IF(D62&lt;=60%,"Medium","Low"))))</f>
        <v>Medium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189</v>
      </c>
      <c r="D64" s="94">
        <f>E64*4</f>
        <v>2.2639795918367351</v>
      </c>
      <c r="E64" s="125">
        <f>AVERAGE(AVERAGE(D12:D16)/4,AVERAGE(D18:D22)/4,AVERAGE(D24:D28)/4,D62)</f>
        <v>0.56599489795918378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2023-03-24T01:56:20Z</dcterms:modified>
  <cp:category/>
  <cp:contentStatus/>
</cp:coreProperties>
</file>