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9B721C56-27E8-4D5B-A3E5-10ECB78BC62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 l="1"/>
  <c r="C36" i="1"/>
  <c r="B18" i="1"/>
  <c r="E7" i="3"/>
  <c r="E6" i="1"/>
  <c r="C26" i="4"/>
  <c r="E12" i="7"/>
  <c r="E11" i="7" s="1"/>
  <c r="E8" i="7"/>
  <c r="E9" i="7" s="1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D30" i="4" s="1"/>
  <c r="D14" i="1" l="1"/>
  <c r="F46" i="1" s="1"/>
  <c r="F14" i="1"/>
  <c r="I35" i="1" s="1"/>
  <c r="C33" i="4"/>
  <c r="H14" i="1" s="1"/>
  <c r="J25" i="1" s="1"/>
  <c r="I36" i="1" l="1"/>
  <c r="F45" i="1"/>
  <c r="F42" i="1" s="1"/>
  <c r="E42" i="1" s="1"/>
  <c r="F48" i="1" s="1"/>
  <c r="F33" i="4"/>
  <c r="D16" i="1"/>
  <c r="B17" i="1"/>
  <c r="J17" i="1" s="1"/>
  <c r="D18" i="1"/>
  <c r="E33" i="4"/>
  <c r="E49" i="1" l="1"/>
  <c r="F49" i="1"/>
  <c r="E50" i="1" s="1"/>
  <c r="F50" i="1" s="1"/>
  <c r="D17" i="1"/>
  <c r="F17" i="1"/>
</calcChain>
</file>

<file path=xl/sharedStrings.xml><?xml version="1.0" encoding="utf-8"?>
<sst xmlns="http://schemas.openxmlformats.org/spreadsheetml/2006/main" count="410" uniqueCount="347">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</sst>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7" t="s">
        <v>309</v>
      </c>
      <c r="D3" s="398"/>
      <c r="E3" s="15"/>
      <c r="G3" s="7" t="s">
        <v>2</v>
      </c>
      <c r="I3" s="407" t="s">
        <v>3</v>
      </c>
      <c r="J3" s="408"/>
    </row>
    <row r="4" spans="1:12" ht="15.75" customHeight="1" x14ac:dyDescent="0.3">
      <c r="B4" s="5" t="s">
        <v>4</v>
      </c>
      <c r="C4" s="399" t="s">
        <v>310</v>
      </c>
      <c r="D4" s="400"/>
      <c r="E4" s="6"/>
      <c r="G4" s="5" t="s">
        <v>5</v>
      </c>
      <c r="I4" s="32">
        <v>18.600000000000001</v>
      </c>
      <c r="J4" s="33" t="s">
        <v>6</v>
      </c>
      <c r="K4" s="152"/>
    </row>
    <row r="5" spans="1:12" ht="15.75" customHeight="1" x14ac:dyDescent="0.3">
      <c r="B5" s="5" t="s">
        <v>7</v>
      </c>
      <c r="C5" s="401">
        <v>44987</v>
      </c>
      <c r="D5" s="400"/>
      <c r="E5" s="122" t="str">
        <f ca="1">IF(C5+30&gt;=TODAY(),"Patience Premium","")</f>
        <v>Patience Premium</v>
      </c>
      <c r="G5" s="5" t="s">
        <v>8</v>
      </c>
      <c r="I5" s="409">
        <v>7913203590</v>
      </c>
      <c r="J5" s="41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11">
        <f>I4*I5/1000000</f>
        <v>147185.586774</v>
      </c>
      <c r="J6" s="412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11.021928518678378</v>
      </c>
      <c r="J9" s="48">
        <f>IF(I9="NNI","NNI",1/I9)</f>
        <v>9.0728224040406716E-2</v>
      </c>
    </row>
    <row r="10" spans="1:12" ht="15.75" customHeight="1" x14ac:dyDescent="0.3">
      <c r="B10" s="3" t="s">
        <v>274</v>
      </c>
      <c r="C10" s="300" t="s">
        <v>275</v>
      </c>
      <c r="D10" s="300">
        <v>2.8999999999999998E-2</v>
      </c>
      <c r="E10" s="5"/>
      <c r="G10" s="5" t="s">
        <v>14</v>
      </c>
      <c r="I10" s="138">
        <f>I4/(Data!C28*I12*Data!C4/Common_Shares)</f>
        <v>0.73732769018296218</v>
      </c>
      <c r="J10" s="130">
        <f>IF(Asset_Model!D60/'FCFF Model'!C4&lt;0,"Negative EV",Asset_Model!D60/'FCFF Model'!C4)</f>
        <v>248.31947410535426</v>
      </c>
    </row>
    <row r="11" spans="1:12" ht="15.75" customHeight="1" thickBot="1" x14ac:dyDescent="0.35">
      <c r="B11" s="313" t="s">
        <v>278</v>
      </c>
      <c r="C11" s="421">
        <f ca="1">C12-D10</f>
        <v>6.7000000000000004E-2</v>
      </c>
      <c r="D11" s="422"/>
      <c r="E11" s="13"/>
      <c r="G11" s="5" t="s">
        <v>15</v>
      </c>
      <c r="H11" s="6"/>
      <c r="I11" s="419" t="s">
        <v>311</v>
      </c>
      <c r="J11" s="420"/>
    </row>
    <row r="12" spans="1:12" ht="15.75" customHeight="1" thickTop="1" x14ac:dyDescent="0.3">
      <c r="B12" s="314" t="s">
        <v>150</v>
      </c>
      <c r="C12" s="375">
        <f ca="1">IF(C10="CN",8%,6%)*IF($C$5+30&gt;=TODAY(),1.2,1)</f>
        <v>9.6000000000000002E-2</v>
      </c>
      <c r="D12" s="376"/>
      <c r="G12" s="134" t="s">
        <v>16</v>
      </c>
      <c r="H12" s="133"/>
      <c r="I12" s="135">
        <v>7.8472833633422852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Model'!C30,'FCFF Model'!E30)</f>
        <v>7.2206072013476366</v>
      </c>
      <c r="E14" s="127" t="s">
        <v>234</v>
      </c>
      <c r="F14" s="184">
        <f ca="1">MAX('FCFF Model'!C30,'FCFF Model'!E30)</f>
        <v>27.052702245830893</v>
      </c>
      <c r="G14" s="185" t="s">
        <v>24</v>
      </c>
      <c r="H14" s="193">
        <f ca="1">IF('FCFF Model'!C33&lt;0, "Error", 'FCFF Model'!C33)</f>
        <v>19.676714379711775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18.600000000000001</v>
      </c>
      <c r="C16" s="385">
        <v>0.1</v>
      </c>
      <c r="D16" s="159">
        <f ca="1">H14/B16-1-C16</f>
        <v>-4.2112130123022867E-2</v>
      </c>
      <c r="E16" s="380">
        <f>'FCFF Model'!D11*Exchange_Rate</f>
        <v>0</v>
      </c>
      <c r="F16" s="161">
        <f>E16/B16</f>
        <v>0</v>
      </c>
      <c r="G16" s="388" t="s">
        <v>25</v>
      </c>
      <c r="H16" s="413">
        <f>('FCFF Model'!G19)*Exchange_Rate</f>
        <v>-2.3079951348767827</v>
      </c>
      <c r="I16" s="388" t="s">
        <v>26</v>
      </c>
      <c r="J16" s="206">
        <f>B16-$H$16</f>
        <v>20.907995134876785</v>
      </c>
    </row>
    <row r="17" spans="1:10" ht="15.75" customHeight="1" x14ac:dyDescent="0.3">
      <c r="B17" s="290">
        <f ca="1">H14/(1+C16)</f>
        <v>17.887922163374341</v>
      </c>
      <c r="C17" s="386"/>
      <c r="D17" s="289">
        <f ca="1">H14/B17-1-C16</f>
        <v>0</v>
      </c>
      <c r="E17" s="381"/>
      <c r="F17" s="162">
        <f ca="1">E16/B17</f>
        <v>0</v>
      </c>
      <c r="G17" s="389"/>
      <c r="H17" s="414"/>
      <c r="I17" s="389"/>
      <c r="J17" s="205">
        <f ca="1">B17-$H$16</f>
        <v>20.195917298251125</v>
      </c>
    </row>
    <row r="18" spans="1:10" ht="15.75" customHeight="1" x14ac:dyDescent="0.3">
      <c r="B18" s="356">
        <f>C35</f>
        <v>15</v>
      </c>
      <c r="C18" s="387"/>
      <c r="D18" s="160">
        <f ca="1">H14/B18-1-C16</f>
        <v>0.21178095864745158</v>
      </c>
      <c r="E18" s="382"/>
      <c r="F18" s="163">
        <f>E16/B18</f>
        <v>0</v>
      </c>
      <c r="G18" s="390"/>
      <c r="H18" s="415"/>
      <c r="I18" s="390"/>
      <c r="J18" s="207">
        <f>B18-$H$16</f>
        <v>17.307995134876784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4"/>
      <c r="D21" s="405"/>
      <c r="E21" s="405"/>
      <c r="F21" s="405"/>
      <c r="G21" s="405"/>
      <c r="H21" s="405"/>
      <c r="I21" s="405"/>
      <c r="J21" s="406"/>
    </row>
    <row r="22" spans="1:10" ht="52.5" customHeight="1" x14ac:dyDescent="0.3">
      <c r="A22" s="6"/>
      <c r="B22" s="24" t="s">
        <v>29</v>
      </c>
      <c r="C22" s="417"/>
      <c r="D22" s="418"/>
      <c r="E22" s="418"/>
      <c r="F22" s="418"/>
      <c r="G22" s="417"/>
      <c r="H22" s="417"/>
      <c r="I22" s="418"/>
      <c r="J22" s="418"/>
    </row>
    <row r="23" spans="1:10" ht="52.5" customHeight="1" x14ac:dyDescent="0.3">
      <c r="A23" s="6"/>
      <c r="B23" s="25" t="s">
        <v>30</v>
      </c>
      <c r="C23" s="383"/>
      <c r="D23" s="384"/>
      <c r="E23" s="384"/>
      <c r="F23" s="384"/>
      <c r="G23" s="383"/>
      <c r="H23" s="383"/>
      <c r="I23" s="384"/>
      <c r="J23" s="38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15.74137150376942</v>
      </c>
    </row>
    <row r="26" spans="1:10" ht="15.75" customHeight="1" x14ac:dyDescent="0.3">
      <c r="B26" s="23" t="s">
        <v>33</v>
      </c>
      <c r="C26" s="402">
        <v>44987</v>
      </c>
      <c r="D26" s="403"/>
      <c r="E26" s="394" t="str">
        <f>IF(C26="","","Action_Planning")</f>
        <v>Action_Planning</v>
      </c>
      <c r="F26" s="395"/>
      <c r="G26" s="395"/>
      <c r="H26" s="396"/>
      <c r="I26" s="416" t="s">
        <v>34</v>
      </c>
      <c r="J26" s="416"/>
    </row>
    <row r="27" spans="1:10" ht="15.75" customHeight="1" x14ac:dyDescent="0.3">
      <c r="B27" s="23" t="s">
        <v>35</v>
      </c>
      <c r="C27" s="379">
        <f>C31/D25</f>
        <v>5.5E-2</v>
      </c>
      <c r="D27" s="378"/>
      <c r="E27" s="377">
        <f>E31/D25</f>
        <v>2.75E-2</v>
      </c>
      <c r="F27" s="378"/>
      <c r="G27" s="392">
        <f>G31/D25</f>
        <v>0</v>
      </c>
      <c r="H27" s="393"/>
      <c r="I27" s="391">
        <f>C27+E27+G27</f>
        <v>8.2500000000000004E-2</v>
      </c>
      <c r="J27" s="391"/>
    </row>
    <row r="28" spans="1:10" ht="15.75" customHeight="1" x14ac:dyDescent="0.3">
      <c r="B28" s="23" t="s">
        <v>36</v>
      </c>
      <c r="C28" s="368">
        <v>2000</v>
      </c>
      <c r="D28" s="418"/>
      <c r="E28" s="368">
        <v>1000</v>
      </c>
      <c r="F28" s="418"/>
      <c r="G28" s="409"/>
      <c r="H28" s="410"/>
      <c r="I28" s="433">
        <f>C28+E28+G28</f>
        <v>3000</v>
      </c>
      <c r="J28" s="433"/>
    </row>
    <row r="29" spans="1:10" ht="15.75" customHeight="1" x14ac:dyDescent="0.3">
      <c r="B29" s="23" t="s">
        <v>37</v>
      </c>
      <c r="C29" s="443">
        <v>16.5</v>
      </c>
      <c r="D29" s="418"/>
      <c r="E29" s="443">
        <v>16.5</v>
      </c>
      <c r="F29" s="418"/>
      <c r="G29" s="423"/>
      <c r="H29" s="424"/>
      <c r="I29" s="429"/>
      <c r="J29" s="429"/>
    </row>
    <row r="30" spans="1:10" ht="15.75" customHeight="1" x14ac:dyDescent="0.3">
      <c r="B30" s="23" t="s">
        <v>38</v>
      </c>
      <c r="C30" s="431">
        <f>C29*$I$5/1000000</f>
        <v>130567.859235</v>
      </c>
      <c r="D30" s="438"/>
      <c r="E30" s="431">
        <f>E29*$I$5/1000000</f>
        <v>130567.859235</v>
      </c>
      <c r="F30" s="438"/>
      <c r="G30" s="425">
        <f>G29*$I$5/1000000</f>
        <v>0</v>
      </c>
      <c r="H30" s="426"/>
      <c r="I30" s="430"/>
      <c r="J30" s="430"/>
    </row>
    <row r="31" spans="1:10" ht="15.75" customHeight="1" x14ac:dyDescent="0.3">
      <c r="B31" s="2" t="s">
        <v>39</v>
      </c>
      <c r="C31" s="439">
        <f>C28*C29</f>
        <v>33000</v>
      </c>
      <c r="D31" s="440"/>
      <c r="E31" s="432">
        <f>E28*E29</f>
        <v>16500</v>
      </c>
      <c r="F31" s="441"/>
      <c r="G31" s="427">
        <f>G28*G29</f>
        <v>0</v>
      </c>
      <c r="H31" s="428"/>
      <c r="I31" s="432">
        <f>C31+E31+G31</f>
        <v>49500</v>
      </c>
      <c r="J31" s="432"/>
    </row>
    <row r="32" spans="1:10" ht="15.75" customHeight="1" x14ac:dyDescent="0.3">
      <c r="B32" s="1" t="s">
        <v>40</v>
      </c>
      <c r="C32" s="434"/>
      <c r="D32" s="435"/>
      <c r="E32" s="442">
        <f>IF(C31=0,"-",(C31+E31)/(C28+E28))</f>
        <v>16.5</v>
      </c>
      <c r="F32" s="378"/>
      <c r="G32" s="117"/>
      <c r="H32" s="117"/>
      <c r="I32" s="442">
        <f>IF(I31=0,"",I31/I28)</f>
        <v>16.5</v>
      </c>
      <c r="J32" s="442"/>
    </row>
    <row r="33" spans="2:11" ht="15.75" customHeight="1" x14ac:dyDescent="0.3">
      <c r="B33" s="1" t="s">
        <v>41</v>
      </c>
      <c r="C33" s="436"/>
      <c r="D33" s="437"/>
      <c r="E33" s="431">
        <f>IF(E32="-","-",E32*$I$5/1000000)</f>
        <v>130567.859235</v>
      </c>
      <c r="F33" s="438"/>
      <c r="G33" s="118"/>
      <c r="H33" s="118"/>
      <c r="I33" s="431">
        <f>IF(I32="","",I32*$I$5/1000000)</f>
        <v>130567.859235</v>
      </c>
      <c r="J33" s="431"/>
    </row>
    <row r="34" spans="2:11" ht="15.75" customHeight="1" x14ac:dyDescent="0.3"/>
    <row r="35" spans="2:11" ht="15.75" customHeight="1" x14ac:dyDescent="0.3">
      <c r="B35" s="146" t="s">
        <v>326</v>
      </c>
      <c r="C35" s="366">
        <v>15</v>
      </c>
      <c r="D35" s="367"/>
      <c r="G35" s="370" t="s">
        <v>328</v>
      </c>
      <c r="H35" s="371"/>
      <c r="I35" s="366">
        <f ca="1">F14</f>
        <v>27.052702245830893</v>
      </c>
      <c r="J35" s="367"/>
    </row>
    <row r="36" spans="2:11" ht="15.75" customHeight="1" x14ac:dyDescent="0.3">
      <c r="B36" s="146" t="s">
        <v>327</v>
      </c>
      <c r="C36" s="368">
        <f>E28</f>
        <v>1000</v>
      </c>
      <c r="D36" s="369"/>
      <c r="G36" s="372" t="s">
        <v>332</v>
      </c>
      <c r="H36" s="372"/>
      <c r="I36" s="373">
        <f ca="1">I35/C29-1</f>
        <v>0.63955771186853894</v>
      </c>
      <c r="J36" s="374"/>
    </row>
    <row r="37" spans="2:11" ht="15.75" customHeight="1" x14ac:dyDescent="0.3"/>
    <row r="38" spans="2:11" ht="15.75" customHeight="1" x14ac:dyDescent="0.3">
      <c r="B38" s="21" t="s">
        <v>333</v>
      </c>
      <c r="G38" s="347" t="s">
        <v>141</v>
      </c>
      <c r="H38" s="133"/>
      <c r="I38" s="133"/>
      <c r="J38" s="133"/>
      <c r="K38" s="357"/>
    </row>
    <row r="39" spans="2:11" ht="15.75" customHeight="1" x14ac:dyDescent="0.3">
      <c r="B39" s="3" t="s">
        <v>334</v>
      </c>
      <c r="F39" s="214">
        <f>'Qualitative Analysis'!E8</f>
        <v>0.6</v>
      </c>
      <c r="G39" s="358"/>
      <c r="H39" s="116"/>
      <c r="I39" s="116"/>
      <c r="J39" s="116"/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3">
      <c r="B41" s="3" t="s">
        <v>336</v>
      </c>
      <c r="E41" s="359"/>
      <c r="F41" s="360">
        <f>'Qualitative Analysis'!E64</f>
        <v>0.62807823129251705</v>
      </c>
      <c r="G41" s="358" t="s">
        <v>337</v>
      </c>
      <c r="H41" s="116"/>
      <c r="I41" s="116"/>
      <c r="J41" s="116"/>
    </row>
    <row r="42" spans="2:11" ht="15.75" customHeight="1" x14ac:dyDescent="0.3">
      <c r="B42" s="3" t="s">
        <v>345</v>
      </c>
      <c r="E42" s="359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1" ht="15.75" customHeight="1" x14ac:dyDescent="0.3">
      <c r="B43" s="3" t="s">
        <v>346</v>
      </c>
      <c r="F43" s="361">
        <f>AVERAGE(80%*0.5,0.6)</f>
        <v>0.5</v>
      </c>
      <c r="G43" s="116"/>
      <c r="H43" s="116"/>
      <c r="I43" s="116"/>
      <c r="J43" s="116"/>
    </row>
    <row r="44" spans="2:11" ht="15.75" customHeight="1" x14ac:dyDescent="0.3"/>
    <row r="45" spans="2:11" ht="15.75" customHeight="1" x14ac:dyDescent="0.3">
      <c r="B45" s="3" t="s">
        <v>339</v>
      </c>
      <c r="F45" s="360">
        <f ca="1">I35/C29-1</f>
        <v>0.63955771186853894</v>
      </c>
    </row>
    <row r="46" spans="2:11" ht="15.75" customHeight="1" x14ac:dyDescent="0.3">
      <c r="B46" s="3" t="s">
        <v>340</v>
      </c>
      <c r="F46" s="360">
        <f ca="1">D14/C29-1</f>
        <v>-0.56238744234256743</v>
      </c>
    </row>
    <row r="47" spans="2:11" ht="15.75" customHeight="1" x14ac:dyDescent="0.3"/>
    <row r="48" spans="2:11" ht="15.75" customHeight="1" x14ac:dyDescent="0.3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3">
      <c r="B49" s="3" t="s">
        <v>342</v>
      </c>
      <c r="E49" s="362">
        <f ca="1">F45/ABS(F46)</f>
        <v>1.1372190481432634</v>
      </c>
      <c r="F49" s="363">
        <f ca="1">IF(F46&gt;=0,100,F45/ABS(F46))</f>
        <v>1.1372190481432634</v>
      </c>
      <c r="G49" s="74"/>
    </row>
    <row r="50" spans="2:8" ht="15.75" customHeight="1" x14ac:dyDescent="0.3">
      <c r="B50" s="3" t="s">
        <v>343</v>
      </c>
      <c r="E50" s="107">
        <f ca="1">MAX(F48-ABS((1-F48)/F49),0)/2</f>
        <v>0.18578937743602947</v>
      </c>
      <c r="F50" s="364">
        <f ca="1">MIN(E50,H50)</f>
        <v>0.18578937743602947</v>
      </c>
      <c r="G50" s="365" t="s">
        <v>344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C35:D36">
    <cfRule type="containsBlanks" priority="7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2">
      <formula>LEN(TRIM(I35))=0</formula>
    </cfRule>
  </conditionalFormatting>
  <conditionalFormatting sqref="K38">
    <cfRule type="containsBlanks" priority="5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300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141</v>
      </c>
    </row>
    <row r="3" spans="1:11" ht="15" customHeight="1" x14ac:dyDescent="0.3">
      <c r="B3" s="5" t="s">
        <v>259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260</v>
      </c>
      <c r="I3" s="276">
        <v>19149976</v>
      </c>
      <c r="K3" s="74"/>
    </row>
    <row r="4" spans="1:11" ht="15" customHeight="1" x14ac:dyDescent="0.3">
      <c r="B4" s="5" t="s">
        <v>226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18.990448857288158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1.3579677536903048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255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3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3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3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4">
        <f>D53+D54+D55</f>
        <v>8694432</v>
      </c>
      <c r="E52" s="445"/>
      <c r="F52" s="53"/>
      <c r="G52" s="53"/>
    </row>
    <row r="53" spans="2:9" ht="14.5" thickTop="1" x14ac:dyDescent="0.3">
      <c r="B53" s="58" t="s">
        <v>236</v>
      </c>
      <c r="C53" s="6"/>
      <c r="D53" s="447">
        <f>SUM(I11:I13)+SUM(I28:I30)</f>
        <v>8694432</v>
      </c>
      <c r="E53" s="440"/>
      <c r="F53" s="5"/>
      <c r="G53" s="5"/>
      <c r="H53" s="3" t="s">
        <v>273</v>
      </c>
      <c r="I53" s="14">
        <f>D53/I3</f>
        <v>0.45401790581878537</v>
      </c>
    </row>
    <row r="54" spans="2:9" ht="14" x14ac:dyDescent="0.3">
      <c r="B54" s="58" t="s">
        <v>136</v>
      </c>
      <c r="C54" s="6"/>
      <c r="D54" s="452">
        <v>0</v>
      </c>
      <c r="E54" s="41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2">
        <v>0</v>
      </c>
      <c r="E55" s="41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6"/>
      <c r="E57" s="44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140</v>
      </c>
      <c r="C60" s="6"/>
      <c r="D60" s="450">
        <f>((Dashboard!I6*Data!C4)+D52+E50-C58-C59)</f>
        <v>144878582.77399999</v>
      </c>
      <c r="E60" s="451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373">
        <f>((C26-C11-C12-C14-C15-C16*G16-C19*G19-C20*G20)-I26)/Data!C7</f>
        <v>-0.64687443506582265</v>
      </c>
      <c r="E63" s="374"/>
    </row>
    <row r="64" spans="2:9" ht="15" customHeight="1" x14ac:dyDescent="0.3">
      <c r="B64" s="3" t="s">
        <v>267</v>
      </c>
      <c r="D64" s="448">
        <v>6.3399999999999998E-2</v>
      </c>
      <c r="E64" s="449"/>
      <c r="F64" s="266" t="s">
        <v>252</v>
      </c>
    </row>
    <row r="65" spans="2:5" ht="15" customHeight="1" x14ac:dyDescent="0.3">
      <c r="B65" s="292" t="s">
        <v>269</v>
      </c>
      <c r="D65" s="448">
        <f>D63</f>
        <v>-0.64687443506582265</v>
      </c>
      <c r="E65" s="44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141</v>
      </c>
    </row>
    <row r="4" spans="1:13" ht="15.75" customHeight="1" x14ac:dyDescent="0.3">
      <c r="B4" s="293" t="s">
        <v>313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314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143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270</v>
      </c>
      <c r="M6" s="57"/>
    </row>
    <row r="7" spans="1:13" ht="15.75" customHeight="1" x14ac:dyDescent="0.3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247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148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307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271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248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</v>
      </c>
      <c r="E12" s="346"/>
      <c r="F12" s="346"/>
      <c r="G12" s="230">
        <f>G9*D27</f>
        <v>5.3625034983145179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3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3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5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55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9" t="s">
        <v>231</v>
      </c>
      <c r="F23" s="459"/>
      <c r="G23" s="459"/>
    </row>
    <row r="24" spans="1:9" ht="15.75" customHeight="1" x14ac:dyDescent="0.3">
      <c r="B24" s="127" t="str">
        <f>"Exit after Year "&amp;G4</f>
        <v>Exit after Year 1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0.05</v>
      </c>
      <c r="D25" s="298">
        <v>20</v>
      </c>
      <c r="E25" s="206">
        <f ca="1">G9*D25/G14</f>
        <v>1.6233560592885623</v>
      </c>
      <c r="F25" s="456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302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7"/>
      <c r="G26" s="352">
        <f ca="1">$F$25+E26+$G$19</f>
        <v>3.447397142838577</v>
      </c>
      <c r="I26" s="74" t="s">
        <v>317</v>
      </c>
    </row>
    <row r="27" spans="1:9" ht="15.75" customHeight="1" x14ac:dyDescent="0.3">
      <c r="B27" s="302" t="s">
        <v>315</v>
      </c>
      <c r="C27" s="303">
        <f t="shared" ref="C27" si="0">1/D27</f>
        <v>1.8181818181818181E-2</v>
      </c>
      <c r="D27" s="315">
        <v>55</v>
      </c>
      <c r="E27" s="207">
        <f ca="1">G9*D27/G14</f>
        <v>4.4642291630435462</v>
      </c>
      <c r="F27" s="458"/>
      <c r="G27" s="207">
        <f ca="1">$F$25+E27+$G$19</f>
        <v>4.2590751724828584</v>
      </c>
      <c r="I27" s="74" t="s">
        <v>316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152</v>
      </c>
      <c r="C30" s="252">
        <f ca="1">MIN(Asset_Model!D7,G25*Exchange_Rate)+(ABS(Asset_Model!D7-G25*Exchange_Rate)*'Qualitative Analysis'!E8)</f>
        <v>7.2206072013476366</v>
      </c>
      <c r="D30" s="23" t="str">
        <f ca="1">IF(C30&lt;E30,"&lt;",IF(C30=E30,"=","&gt;"))</f>
        <v>&lt;</v>
      </c>
      <c r="E30" s="251">
        <f ca="1">G26*Exchange_Rate</f>
        <v>27.052702245830893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3" t="s">
        <v>153</v>
      </c>
      <c r="D32" s="454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6" t="s">
        <v>233</v>
      </c>
      <c r="C33" s="253">
        <f ca="1">MIN(C30,E30)+ABS(C30-E30)*'Qualitative Analysis'!$E$64</f>
        <v>19.676714379711775</v>
      </c>
      <c r="D33" s="119" t="str">
        <f>Dashboard!J4</f>
        <v>HKD</v>
      </c>
      <c r="E33" s="120">
        <f ca="1">(C33-G19)/C9</f>
        <v>441.2941025001017</v>
      </c>
      <c r="F33" s="158">
        <f ca="1">C33/(Data!C28*Exchange_Rate*Data!C4/Common_Shares)</f>
        <v>0.78001001956896554</v>
      </c>
      <c r="G33" s="87"/>
      <c r="H33" s="6"/>
      <c r="I33" s="74"/>
    </row>
    <row r="34" spans="2:9" ht="15.75" customHeight="1" x14ac:dyDescent="0.3">
      <c r="B34" s="255" t="s">
        <v>232</v>
      </c>
      <c r="C34" s="254">
        <f ca="1">MAX(Asset_Model!D7,(G12/(1+G34)^G4+F25+G19)*Exchange_Rate)</f>
        <v>37.571741415601899</v>
      </c>
      <c r="D34" s="208" t="str">
        <f>D33</f>
        <v>HKD</v>
      </c>
      <c r="E34" s="120">
        <f ca="1">(C34-G19)/C9</f>
        <v>836.71935894821411</v>
      </c>
      <c r="F34" s="158">
        <f ca="1">C34/(Data!C28*Exchange_Rate*Data!C4/Common_Shares)</f>
        <v>1.4893916835546928</v>
      </c>
      <c r="G34" s="281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3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5" t="s">
        <v>319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 t="s">
        <v>320</v>
      </c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4</v>
      </c>
      <c r="E21" s="31" t="s">
        <v>165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3</v>
      </c>
      <c r="E22" s="31" t="s">
        <v>156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5" t="s">
        <v>321</v>
      </c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 t="s">
        <v>322</v>
      </c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5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2</v>
      </c>
      <c r="E28" s="31" t="s">
        <v>155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289</v>
      </c>
      <c r="D32" s="100">
        <f t="shared" si="3"/>
        <v>0</v>
      </c>
      <c r="E32" s="31" t="s">
        <v>178</v>
      </c>
      <c r="F32" s="6"/>
      <c r="G32" s="295"/>
    </row>
    <row r="33" spans="2:7" ht="15" customHeight="1" x14ac:dyDescent="0.3">
      <c r="B33" s="53" t="s">
        <v>290</v>
      </c>
      <c r="D33" s="100">
        <f t="shared" si="3"/>
        <v>0</v>
      </c>
      <c r="E33" s="31" t="s">
        <v>178</v>
      </c>
      <c r="F33" s="6"/>
      <c r="G33" s="295"/>
    </row>
    <row r="34" spans="2:7" ht="15" customHeight="1" x14ac:dyDescent="0.3">
      <c r="B34" s="53" t="s">
        <v>291</v>
      </c>
      <c r="D34" s="100">
        <f t="shared" si="3"/>
        <v>0</v>
      </c>
      <c r="E34" s="31" t="s">
        <v>178</v>
      </c>
      <c r="F34" s="6"/>
      <c r="G34" s="295"/>
    </row>
    <row r="35" spans="2:7" ht="15" customHeight="1" x14ac:dyDescent="0.3">
      <c r="B35" s="53" t="s">
        <v>308</v>
      </c>
      <c r="D35" s="100">
        <f t="shared" si="3"/>
        <v>0</v>
      </c>
      <c r="E35" s="31" t="s">
        <v>178</v>
      </c>
      <c r="G35" s="295"/>
    </row>
    <row r="36" spans="2:7" ht="15" customHeight="1" x14ac:dyDescent="0.3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5"/>
    </row>
    <row r="38" spans="2:7" ht="15" customHeight="1" x14ac:dyDescent="0.3">
      <c r="B38" s="53" t="s">
        <v>292</v>
      </c>
      <c r="D38" s="100">
        <f t="shared" si="4"/>
        <v>4</v>
      </c>
      <c r="E38" s="31" t="s">
        <v>165</v>
      </c>
      <c r="F38" s="6"/>
      <c r="G38" s="295"/>
    </row>
    <row r="39" spans="2:7" ht="15" customHeight="1" x14ac:dyDescent="0.3">
      <c r="B39" s="53" t="s">
        <v>293</v>
      </c>
      <c r="D39" s="100">
        <f t="shared" si="4"/>
        <v>4</v>
      </c>
      <c r="E39" s="31" t="s">
        <v>165</v>
      </c>
      <c r="F39" s="6"/>
      <c r="G39" s="295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295</v>
      </c>
      <c r="D41" s="100">
        <f t="shared" si="4"/>
        <v>1</v>
      </c>
      <c r="E41" s="31" t="s">
        <v>163</v>
      </c>
      <c r="G41" s="295"/>
    </row>
    <row r="42" spans="2:7" ht="15" customHeight="1" x14ac:dyDescent="0.3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0</v>
      </c>
      <c r="E44" s="31" t="s">
        <v>178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0</v>
      </c>
      <c r="E45" s="31" t="s">
        <v>178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1</v>
      </c>
      <c r="E46" s="31" t="s">
        <v>163</v>
      </c>
      <c r="F46" s="6"/>
      <c r="G46" s="295" t="s">
        <v>323</v>
      </c>
    </row>
    <row r="47" spans="2:7" ht="15" customHeight="1" x14ac:dyDescent="0.3">
      <c r="B47" s="53" t="s">
        <v>186</v>
      </c>
      <c r="D47" s="100">
        <f t="shared" si="5"/>
        <v>3</v>
      </c>
      <c r="E47" s="31" t="s">
        <v>156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0</v>
      </c>
      <c r="E48" s="31" t="s">
        <v>178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5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5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0</v>
      </c>
      <c r="E57" s="31" t="s">
        <v>178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0</v>
      </c>
      <c r="E58" s="31" t="s">
        <v>178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2023-03-24T01:56:22Z</dcterms:modified>
  <cp:category/>
  <cp:contentStatus/>
</cp:coreProperties>
</file>