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EB6347C5-6202-47D3-8BBB-C1804A7955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C36" i="1"/>
  <c r="E7" i="3"/>
  <c r="C35" i="1"/>
  <c r="B18" i="1" s="1"/>
  <c r="E6" i="1"/>
  <c r="E16" i="1"/>
  <c r="C11" i="4"/>
  <c r="G13" i="7"/>
  <c r="G11" i="7"/>
  <c r="C14" i="7"/>
  <c r="E6" i="7"/>
  <c r="G6" i="7" s="1"/>
  <c r="E7" i="7"/>
  <c r="G7" i="7" s="1"/>
  <c r="E5" i="7"/>
  <c r="G5" i="7" s="1"/>
  <c r="E4" i="7"/>
  <c r="G4" i="7" s="1"/>
  <c r="C8" i="7"/>
  <c r="D5" i="7" s="1"/>
  <c r="D6" i="7" l="1"/>
  <c r="G8" i="7"/>
  <c r="E8" i="7"/>
  <c r="F5" i="7" s="1"/>
  <c r="C12" i="1"/>
  <c r="D12" i="4"/>
  <c r="D7" i="7"/>
  <c r="G33" i="4"/>
  <c r="G9" i="7" l="1"/>
  <c r="G14" i="7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I7" i="3" s="1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D7" i="4" s="1"/>
  <c r="E19" i="7"/>
  <c r="I20" i="7"/>
  <c r="F4" i="4" s="1"/>
  <c r="C45" i="3"/>
  <c r="E12" i="3"/>
  <c r="G20" i="7" l="1"/>
  <c r="E4" i="4" s="1"/>
  <c r="E7" i="4" s="1"/>
  <c r="D8" i="4"/>
  <c r="D9" i="4" s="1"/>
  <c r="D10" i="4" s="1"/>
  <c r="D5" i="4"/>
  <c r="F8" i="4"/>
  <c r="F9" i="4" s="1"/>
  <c r="F15" i="4" s="1"/>
  <c r="F5" i="4"/>
  <c r="I19" i="7"/>
  <c r="D53" i="5"/>
  <c r="E8" i="4" l="1"/>
  <c r="E9" i="4" s="1"/>
  <c r="E5" i="4"/>
  <c r="G19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D6" i="5"/>
  <c r="E6" i="5" s="1"/>
  <c r="D33" i="2"/>
  <c r="D34" i="2" s="1"/>
  <c r="C33" i="2"/>
  <c r="C34" i="2" s="1"/>
  <c r="C35" i="2" s="1"/>
  <c r="E33" i="2"/>
  <c r="E34" i="2" s="1"/>
  <c r="D55" i="5"/>
  <c r="E55" i="5" s="1"/>
  <c r="E32" i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E33" i="1" l="1"/>
  <c r="C70" i="2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J44" i="3"/>
  <c r="D18" i="5"/>
  <c r="D57" i="2"/>
  <c r="E57" i="2" s="1"/>
  <c r="F57" i="2"/>
  <c r="B58" i="2"/>
  <c r="D50" i="3" l="1"/>
  <c r="D6" i="3"/>
  <c r="D7" i="3" s="1"/>
  <c r="C21" i="4"/>
  <c r="D60" i="3"/>
  <c r="D58" i="2"/>
  <c r="E58" i="2" s="1"/>
  <c r="F58" i="2"/>
  <c r="B59" i="2"/>
  <c r="D21" i="4" l="1"/>
  <c r="G21" i="4" s="1"/>
  <c r="G18" i="4"/>
  <c r="G19" i="4" s="1"/>
  <c r="D49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E25" i="4"/>
  <c r="G25" i="4" s="1"/>
  <c r="C29" i="4" s="1"/>
  <c r="E26" i="4"/>
  <c r="G26" i="4" s="1"/>
  <c r="E29" i="4" s="1"/>
  <c r="I35" i="1" s="1"/>
  <c r="F45" i="1" s="1"/>
  <c r="F42" i="1" l="1"/>
  <c r="E42" i="1" s="1"/>
  <c r="F48" i="1" s="1"/>
  <c r="I36" i="1"/>
  <c r="D14" i="1"/>
  <c r="F46" i="1" s="1"/>
  <c r="F49" i="1" s="1"/>
  <c r="F14" i="1"/>
  <c r="C32" i="4"/>
  <c r="D29" i="4"/>
  <c r="G15" i="4"/>
  <c r="E50" i="1" l="1"/>
  <c r="F50" i="1" s="1"/>
  <c r="E49" i="1"/>
  <c r="F33" i="4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<sst xmlns="http://schemas.openxmlformats.org/spreadsheetml/2006/main" count="435" uniqueCount="370">
  <si>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</si>
  <si>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</si>
  <si>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</si>
  <si>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</si>
  <si>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</si>
  <si>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</si>
  <si>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</si>
  <si>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</si>
  <si>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</si>
  <si>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</si>
  <si>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</si>
  <si>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</si>
  <si>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</si>
  <si>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</si>
  <si>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</si>
  <si>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</si>
  <si>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</si>
  <si>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</si>
  <si>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</si>
  <si>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</si>
  <si>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</si>
  <si>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</si>
  <si>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</si>
  <si>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</si>
  <si>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</si>
  <si>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</si>
  <si>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</si>
  <si>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</si>
  <si>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</si>
  <si>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</si>
  <si>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</si>
  <si>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</si>
  <si>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</si>
  <si>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</si>
  <si>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</si>
  <si>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</si>
  <si>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</si>
  <si>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</si>
  <si>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</si>
  <si>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</si>
  <si>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</si>
  <si>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</si>
  <si>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</si>
  <si>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</si>
  <si>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</si>
  <si>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</si>
  <si>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</si>
  <si>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</si>
  <si>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</si>
  <si>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</si>
  <si>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</si>
  <si>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</si>
  <si>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</si>
  <si>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</si>
  <si>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</si>
  <si>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</si>
  <si>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</si>
  <si>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</si>
  <si>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</si>
  <si>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</si>
  <si>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</si>
  <si>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</si>
  <si>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</si>
  <si>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</si>
  <si>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</si>
  <si>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</si>
  <si>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</si>
  <si>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</si>
  <si>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</si>
  <si>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</si>
  <si>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</si>
  <si>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</si>
  <si>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</si>
  <si>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</si>
  <si>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</si>
  <si>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</si>
  <si>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</si>
  <si>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</si>
  <si>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</si>
  <si>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</si>
  <si>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</si>
  <si>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</si>
  <si>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</si>
  <si>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</si>
  <si>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</si>
  <si>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</si>
  <si>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</si>
  <si>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</si>
  <si>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</si>
  <si>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</si>
  <si>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</si>
  <si>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</si>
  <si>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</si>
  <si>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</si>
  <si>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</si>
  <si>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</si>
  <si>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</si>
  <si>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</si>
  <si>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</si>
  <si>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</si>
  <si>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</si>
  <si>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</si>
  <si>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</si>
  <si>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</si>
  <si>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</si>
  <si>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</si>
  <si>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</si>
  <si>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</si>
  <si>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</si>
  <si>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</si>
  <si>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</si>
  <si>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</si>
  <si>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</si>
  <si>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</si>
  <si>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</si>
  <si>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</si>
  <si>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</si>
  <si>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</si>
  <si>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</si>
  <si>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</si>
  <si>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</si>
  <si>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</si>
  <si>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</si>
  <si>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</si>
  <si>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</si>
  <si>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</si>
  <si>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</si>
  <si>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</si>
  <si>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</si>
  <si>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</si>
  <si>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</si>
  <si>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</si>
  <si>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</si>
  <si>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</si>
  <si>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</si>
  <si>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</si>
  <si>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</si>
  <si>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</si>
  <si>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</si>
  <si>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</si>
  <si>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</si>
  <si>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</si>
  <si>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</si>
  <si>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</si>
  <si>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</si>
  <si>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</si>
  <si>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</si>
  <si>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</si>
  <si>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</si>
  <si>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</si>
  <si>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</si>
  <si>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</si>
  <si>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</si>
  <si>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</si>
  <si>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</si>
  <si>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</si>
  <si>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</si>
  <si>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</si>
  <si>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</si>
  <si>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</si>
  <si>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</si>
  <si>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</si>
  <si>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</si>
  <si>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</si>
  <si>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</si>
  <si>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</si>
  <si>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</si>
  <si>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</si>
  <si>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</si>
  <si>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</si>
  <si>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</si>
  <si>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</si>
  <si>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</si>
  <si>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</si>
  <si>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</si>
  <si>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</si>
  <si>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</si>
  <si>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</si>
  <si>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</si>
  <si>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</si>
  <si>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</si>
  <si>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</si>
  <si>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</si>
  <si>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</si>
  <si>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</si>
  <si>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</si>
  <si>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</si>
  <si>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</si>
  <si>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</si>
  <si>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</si>
  <si>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</si>
  <si>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</si>
  <si>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</si>
  <si>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</si>
  <si>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</si>
  <si>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</si>
  <si>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</si>
  <si>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</si>
  <si>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</si>
  <si>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</si>
  <si>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</si>
  <si>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</si>
  <si>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</si>
  <si>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</si>
  <si>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</si>
  <si>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</si>
  <si>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</si>
  <si>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</si>
  <si>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</si>
  <si>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</si>
  <si>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</si>
  <si>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</si>
  <si>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</si>
  <si>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</si>
  <si>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</si>
  <si>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</si>
  <si>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</si>
  <si>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</si>
  <si>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</si>
  <si>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</si>
  <si>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</si>
  <si>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</si>
  <si>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</si>
  <si>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</si>
  <si>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</si>
  <si>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</si>
  <si>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</si>
  <si>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</si>
  <si>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</si>
  <si>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</si>
  <si>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</si>
  <si>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</si>
  <si>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</si>
  <si>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</si>
  <si>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</si>
  <si>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</si>
  <si>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</si>
  <si>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</si>
  <si>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</si>
  <si>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</si>
  <si>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</si>
  <si>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</si>
  <si>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</si>
  <si>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</si>
  <si>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</si>
  <si>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</si>
  <si>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</si>
  <si>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</si>
  <si>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</si>
  <si>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</si>
  <si>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</si>
  <si>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</si>
  <si>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</si>
  <si>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</si>
  <si>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</si>
  <si>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</si>
  <si>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</si>
  <si>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</si>
  <si>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</si>
  <si>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</si>
  <si>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</si>
  <si>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</si>
  <si>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</si>
  <si>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</si>
  <si>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</si>
  <si>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</si>
  <si>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</si>
  <si>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</si>
  <si>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</si>
  <si>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</si>
  <si>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</si>
  <si>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</si>
  <si>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</si>
  <si>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</si>
  <si>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</si>
  <si>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</si>
  <si>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</si>
  <si>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</si>
  <si>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</si>
  <si>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</si>
  <si>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</si>
  <si>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</si>
  <si>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</si>
  <si>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</si>
  <si>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</si>
  <si>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</si>
  <si>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</si>
  <si>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</si>
  <si>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</si>
  <si>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</si>
  <si>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</si>
  <si>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</si>
  <si>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</si>
  <si>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</si>
  <si>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</si>
  <si>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</si>
  <si>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</si>
  <si>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</si>
  <si>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</si>
  <si>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</si>
  <si>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</si>
  <si>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</si>
  <si>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</si>
  <si>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</si>
  <si>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</si>
  <si>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</si>
  <si>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</si>
  <si>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</si>
  <si>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</si>
  <si>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</si>
  <si>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</si>
  <si>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</si>
  <si>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</si>
  <si>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</si>
  <si>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</si>
  <si>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</si>
  <si>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</si>
  <si>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</si>
  <si>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</si>
  <si>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</si>
  <si>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</si>
  <si>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</si>
  <si>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</si>
  <si>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</si>
  <si>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</si>
  <si>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</si>
  <si>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</si>
  <si>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</si>
  <si>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</si>
  <si>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</si>
  <si>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</si>
  <si>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</si>
  <si>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</si>
  <si>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</si>
  <si>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</si>
  <si>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</si>
  <si>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</si>
  <si>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</si>
  <si>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</si>
  <si>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</si>
  <si>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</si>
  <si>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</si>
  <si>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</si>
  <si>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</si>
  <si>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</si>
  <si>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</si>
  <si>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</si>
  <si>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</si>
  <si>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</si>
  <si>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</si>
  <si>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</si>
  <si>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</si>
  <si>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</si>
  <si>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</si>
  <si>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</si>
  <si>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1. 可依托母公司立白的支持
2. 通过IPO积累大量现金，Strong Balance Sheet with no debt
3. 家居清潔業務市场地位比较稳定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</si>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</sst>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8" xfId="0" applyFont="1" applyBorder="1"/>
    <xf numFmtId="0" fontId="16" fillId="0" borderId="9" xfId="0" applyFont="1" applyBorder="1"/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20" xfId="0" applyFont="1" applyFill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C23" sqref="C23:F23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9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6" t="s">
        <v>308</v>
      </c>
      <c r="D3" s="387"/>
      <c r="E3" s="15"/>
      <c r="G3" s="7" t="s">
        <v>2</v>
      </c>
      <c r="I3" s="398" t="s">
        <v>3</v>
      </c>
      <c r="J3" s="399"/>
    </row>
    <row r="4" spans="1:12" ht="15.75" customHeight="1" x14ac:dyDescent="0.3">
      <c r="B4" s="5" t="s">
        <v>4</v>
      </c>
      <c r="C4" s="388" t="s">
        <v>309</v>
      </c>
      <c r="D4" s="389"/>
      <c r="E4" s="6"/>
      <c r="G4" s="5" t="s">
        <v>5</v>
      </c>
      <c r="I4" s="32">
        <v>1.87</v>
      </c>
      <c r="J4" s="33" t="s">
        <v>6</v>
      </c>
      <c r="K4" s="173"/>
    </row>
    <row r="5" spans="1:12" ht="15.75" customHeight="1" x14ac:dyDescent="0.3">
      <c r="B5" s="5" t="s">
        <v>7</v>
      </c>
      <c r="C5" s="390">
        <v>44931</v>
      </c>
      <c r="D5" s="389"/>
      <c r="E5" s="143" t="str">
        <f ca="1">IF(C5+30&gt;=TODAY(),"Patience Premium","")</f>
        <v/>
      </c>
      <c r="G5" s="5" t="s">
        <v>8</v>
      </c>
      <c r="I5" s="384">
        <v>1333333500</v>
      </c>
      <c r="J5" s="385"/>
      <c r="K5" s="172"/>
      <c r="L5" s="106"/>
    </row>
    <row r="6" spans="1:12" ht="15.75" customHeight="1" x14ac:dyDescent="0.3">
      <c r="B6" s="12" t="s">
        <v>285</v>
      </c>
      <c r="C6" s="291">
        <v>8</v>
      </c>
      <c r="D6" s="292">
        <f>EOMONTH(EDATE(Asset_Model!D9,C6),0)</f>
        <v>44985</v>
      </c>
      <c r="E6" s="363">
        <f>Data!C3</f>
        <v>44561</v>
      </c>
      <c r="G6" s="155" t="s">
        <v>9</v>
      </c>
      <c r="H6" s="154"/>
      <c r="I6" s="400">
        <f>I4*I5/1000000</f>
        <v>2493.3336450000002</v>
      </c>
      <c r="J6" s="401"/>
      <c r="K6" s="172"/>
    </row>
    <row r="7" spans="1:12" ht="15.75" customHeight="1" x14ac:dyDescent="0.3">
      <c r="B7" s="160" t="s">
        <v>10</v>
      </c>
      <c r="C7" s="166">
        <f>(Data!C39)/I4</f>
        <v>2.3529542513352639E-2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2"/>
      <c r="D9" s="320"/>
      <c r="E9" s="5"/>
      <c r="G9" s="5" t="s">
        <v>13</v>
      </c>
      <c r="I9" s="142">
        <f>IF(Data!F3&lt;=0,"NNI",I4/((Data!F3*I12)/(I5/Data!C4)))</f>
        <v>23.703896220183381</v>
      </c>
      <c r="J9" s="48">
        <f>IF(I9="NNI","NNI",1/I9)</f>
        <v>4.2187157364809949E-2</v>
      </c>
    </row>
    <row r="10" spans="1:12" ht="15.75" customHeight="1" x14ac:dyDescent="0.3">
      <c r="B10" s="3" t="s">
        <v>302</v>
      </c>
      <c r="C10" s="321" t="s">
        <v>303</v>
      </c>
      <c r="D10" s="321">
        <v>2.8999999999999998E-2</v>
      </c>
      <c r="E10" s="5"/>
      <c r="G10" s="5" t="s">
        <v>14</v>
      </c>
      <c r="I10" s="159">
        <f>I4/(Data!C28*I12*Data!C4/Common_Shares)</f>
        <v>0.7980827097563149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4" t="s">
        <v>304</v>
      </c>
      <c r="C11" s="413">
        <f ca="1">C12-D10</f>
        <v>5.1000000000000004E-2</v>
      </c>
      <c r="D11" s="414"/>
      <c r="E11" s="13"/>
      <c r="G11" s="5" t="s">
        <v>15</v>
      </c>
      <c r="H11" s="6"/>
      <c r="I11" s="411" t="s">
        <v>310</v>
      </c>
      <c r="J11" s="412"/>
    </row>
    <row r="12" spans="1:12" ht="15.75" customHeight="1" thickTop="1" x14ac:dyDescent="0.3">
      <c r="B12" s="335" t="s">
        <v>178</v>
      </c>
      <c r="C12" s="422">
        <f ca="1">IF(C10="CN",8%,6%)*IF($C$5+30&gt;=TODAY(),1.2,1)</f>
        <v>0.08</v>
      </c>
      <c r="D12" s="423"/>
      <c r="G12" s="155" t="s">
        <v>16</v>
      </c>
      <c r="H12" s="154"/>
      <c r="I12" s="156">
        <v>1.1421786546707153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1.9708980511035099</v>
      </c>
      <c r="E14" s="148" t="s">
        <v>263</v>
      </c>
      <c r="F14" s="205">
        <f ca="1">MAX('FCFF Model'!C29,'FCFF Model'!E29)</f>
        <v>2.2554744570316125</v>
      </c>
      <c r="G14" s="206" t="s">
        <v>24</v>
      </c>
      <c r="H14" s="214">
        <f ca="1">IF('FCFF Model'!C32&lt;0, "Error", 'FCFF Model'!C32)</f>
        <v>2.1015805700298813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1.87</v>
      </c>
      <c r="C16" s="429">
        <v>0.1</v>
      </c>
      <c r="D16" s="180">
        <f ca="1">H14/B16-1-C16</f>
        <v>2.3839877021326922E-2</v>
      </c>
      <c r="E16" s="426">
        <f>'FCFF Model'!D11*Exchange_Rate</f>
        <v>1.9188601398468015E-2</v>
      </c>
      <c r="F16" s="182">
        <f>E16/B16</f>
        <v>1.0261284170303751E-2</v>
      </c>
      <c r="G16" s="405" t="s">
        <v>25</v>
      </c>
      <c r="H16" s="402">
        <f>('FCFF Model'!G19)*Exchange_Rate</f>
        <v>1.9588114197409756</v>
      </c>
      <c r="I16" s="405" t="s">
        <v>26</v>
      </c>
      <c r="J16" s="227">
        <f>B16-$H$16</f>
        <v>-8.8811419740975506E-2</v>
      </c>
    </row>
    <row r="17" spans="1:10" ht="15.75" customHeight="1" x14ac:dyDescent="0.3">
      <c r="B17" s="311">
        <f ca="1">H14/(1+C16)</f>
        <v>1.9105277909362555</v>
      </c>
      <c r="C17" s="430"/>
      <c r="D17" s="310">
        <f ca="1">H14/B17-1-C16</f>
        <v>0</v>
      </c>
      <c r="E17" s="427"/>
      <c r="F17" s="183">
        <f ca="1">E16/B17</f>
        <v>1.0043612811863169E-2</v>
      </c>
      <c r="G17" s="406"/>
      <c r="H17" s="403"/>
      <c r="I17" s="406"/>
      <c r="J17" s="226">
        <f ca="1">B17-$H$16</f>
        <v>-4.8283628804720147E-2</v>
      </c>
    </row>
    <row r="18" spans="1:10" ht="15.75" customHeight="1" x14ac:dyDescent="0.3">
      <c r="B18" s="364">
        <f>C35</f>
        <v>1.75</v>
      </c>
      <c r="C18" s="431"/>
      <c r="D18" s="181">
        <f ca="1">H14/B18-1-C16</f>
        <v>0.10090318287421782</v>
      </c>
      <c r="E18" s="428"/>
      <c r="F18" s="184">
        <f>E16/B18</f>
        <v>1.0964915084838866E-2</v>
      </c>
      <c r="G18" s="407"/>
      <c r="H18" s="404"/>
      <c r="I18" s="407"/>
      <c r="J18" s="228">
        <f>B18-$H$16</f>
        <v>-0.20881141974097561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2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3" t="s">
        <v>320</v>
      </c>
      <c r="D21" s="394"/>
      <c r="E21" s="394"/>
      <c r="F21" s="394"/>
      <c r="G21" s="394"/>
      <c r="H21" s="394"/>
      <c r="I21" s="394"/>
      <c r="J21" s="395"/>
    </row>
    <row r="22" spans="1:10" ht="52.5" customHeight="1" x14ac:dyDescent="0.3">
      <c r="A22" s="6"/>
      <c r="B22" s="24" t="s">
        <v>29</v>
      </c>
      <c r="C22" s="409" t="s">
        <v>355</v>
      </c>
      <c r="D22" s="410"/>
      <c r="E22" s="410"/>
      <c r="F22" s="410"/>
      <c r="G22" s="409" t="s">
        <v>323</v>
      </c>
      <c r="H22" s="409"/>
      <c r="I22" s="410"/>
      <c r="J22" s="410"/>
    </row>
    <row r="23" spans="1:10" ht="52.5" customHeight="1" x14ac:dyDescent="0.3">
      <c r="A23" s="6"/>
      <c r="B23" s="25" t="s">
        <v>30</v>
      </c>
      <c r="C23" s="396" t="s">
        <v>322</v>
      </c>
      <c r="D23" s="397"/>
      <c r="E23" s="397"/>
      <c r="F23" s="397"/>
      <c r="G23" s="396" t="s">
        <v>321</v>
      </c>
      <c r="H23" s="396"/>
      <c r="I23" s="397"/>
      <c r="J23" s="39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348</v>
      </c>
      <c r="G25" s="12"/>
      <c r="H25" s="365">
        <v>0.15</v>
      </c>
      <c r="I25" s="30" t="s">
        <v>349</v>
      </c>
      <c r="J25" s="366">
        <f ca="1">H14/(H25+C16+1)</f>
        <v>1.681264456023905</v>
      </c>
    </row>
    <row r="26" spans="1:10" ht="15.75" customHeight="1" x14ac:dyDescent="0.3">
      <c r="B26" s="23" t="s">
        <v>33</v>
      </c>
      <c r="C26" s="391">
        <v>44932</v>
      </c>
      <c r="D26" s="392"/>
      <c r="E26" s="442" t="str">
        <f>IF(C26="","","Action_Planning")</f>
        <v>Action_Planning</v>
      </c>
      <c r="F26" s="443"/>
      <c r="G26" s="443"/>
      <c r="H26" s="444"/>
      <c r="I26" s="408" t="s">
        <v>34</v>
      </c>
      <c r="J26" s="408"/>
    </row>
    <row r="27" spans="1:10" ht="15.75" customHeight="1" x14ac:dyDescent="0.3">
      <c r="B27" s="23" t="s">
        <v>35</v>
      </c>
      <c r="C27" s="425">
        <f>C31/D25</f>
        <v>0.11666666666666667</v>
      </c>
      <c r="D27" s="383"/>
      <c r="E27" s="424">
        <f>E31/D25</f>
        <v>2.9166666666666667E-2</v>
      </c>
      <c r="F27" s="383"/>
      <c r="G27" s="416">
        <f>G31/D25</f>
        <v>0.13333333333333333</v>
      </c>
      <c r="H27" s="417"/>
      <c r="I27" s="415">
        <f>C27+E27+G27</f>
        <v>0.27916666666666667</v>
      </c>
      <c r="J27" s="415"/>
    </row>
    <row r="28" spans="1:10" ht="15.75" customHeight="1" x14ac:dyDescent="0.3">
      <c r="B28" s="23" t="s">
        <v>36</v>
      </c>
      <c r="C28" s="420">
        <v>40000</v>
      </c>
      <c r="D28" s="410"/>
      <c r="E28" s="420">
        <v>10000</v>
      </c>
      <c r="F28" s="410"/>
      <c r="G28" s="384">
        <v>50000</v>
      </c>
      <c r="H28" s="385"/>
      <c r="I28" s="419">
        <f>C28+E28+G28</f>
        <v>100000</v>
      </c>
      <c r="J28" s="419"/>
    </row>
    <row r="29" spans="1:10" ht="15.75" customHeight="1" x14ac:dyDescent="0.3">
      <c r="B29" s="23" t="s">
        <v>37</v>
      </c>
      <c r="C29" s="434">
        <v>1.75</v>
      </c>
      <c r="D29" s="410"/>
      <c r="E29" s="434">
        <v>1.75</v>
      </c>
      <c r="F29" s="410"/>
      <c r="G29" s="447">
        <v>1.6</v>
      </c>
      <c r="H29" s="448"/>
      <c r="I29" s="418"/>
      <c r="J29" s="418"/>
    </row>
    <row r="30" spans="1:10" ht="15.75" customHeight="1" x14ac:dyDescent="0.3">
      <c r="B30" s="23" t="s">
        <v>38</v>
      </c>
      <c r="C30" s="432">
        <f>C29*$I$5/1000000</f>
        <v>2333.3336250000002</v>
      </c>
      <c r="D30" s="433"/>
      <c r="E30" s="432">
        <f>E29*$I$5/1000000</f>
        <v>2333.3336250000002</v>
      </c>
      <c r="F30" s="433"/>
      <c r="G30" s="449">
        <f>G29*$I$5/1000000</f>
        <v>2133.3335999999999</v>
      </c>
      <c r="H30" s="450"/>
      <c r="I30" s="453"/>
      <c r="J30" s="453"/>
    </row>
    <row r="31" spans="1:10" ht="15.75" customHeight="1" x14ac:dyDescent="0.3">
      <c r="B31" s="2" t="s">
        <v>39</v>
      </c>
      <c r="C31" s="378">
        <f>C28*C29</f>
        <v>70000</v>
      </c>
      <c r="D31" s="379"/>
      <c r="E31" s="380">
        <f>E28*E29</f>
        <v>17500</v>
      </c>
      <c r="F31" s="381"/>
      <c r="G31" s="451">
        <f>G28*G29</f>
        <v>80000</v>
      </c>
      <c r="H31" s="452"/>
      <c r="I31" s="380">
        <f>C31+E31+G31</f>
        <v>167500</v>
      </c>
      <c r="J31" s="380"/>
    </row>
    <row r="32" spans="1:10" ht="15.75" customHeight="1" x14ac:dyDescent="0.3">
      <c r="B32" s="1" t="s">
        <v>40</v>
      </c>
      <c r="C32" s="435"/>
      <c r="D32" s="436"/>
      <c r="E32" s="382">
        <f>IF(C31=0,"-",(C31+E31)/(C28+E28))</f>
        <v>1.75</v>
      </c>
      <c r="F32" s="383"/>
      <c r="G32" s="138"/>
      <c r="H32" s="138"/>
      <c r="I32" s="382">
        <f>IF(I31=0,"",I31/I28)</f>
        <v>1.675</v>
      </c>
      <c r="J32" s="382"/>
    </row>
    <row r="33" spans="2:10" ht="15.75" customHeight="1" x14ac:dyDescent="0.3">
      <c r="B33" s="1" t="s">
        <v>41</v>
      </c>
      <c r="C33" s="437"/>
      <c r="D33" s="438"/>
      <c r="E33" s="432">
        <f>IF(E32="-","-",E32*$I$5/1000000)</f>
        <v>2333.3336250000002</v>
      </c>
      <c r="F33" s="433"/>
      <c r="G33" s="139"/>
      <c r="H33" s="139"/>
      <c r="I33" s="432">
        <f>IF(I32="","",I32*$I$5/1000000)</f>
        <v>2233.3336125000001</v>
      </c>
      <c r="J33" s="432"/>
    </row>
    <row r="34" spans="2:10" ht="15.75" customHeight="1" x14ac:dyDescent="0.3"/>
    <row r="35" spans="2:10" ht="15.75" customHeight="1" x14ac:dyDescent="0.3">
      <c r="B35" s="3" t="s">
        <v>346</v>
      </c>
      <c r="C35" s="376">
        <f>E29</f>
        <v>1.75</v>
      </c>
      <c r="D35" s="377"/>
      <c r="G35" s="445" t="s">
        <v>350</v>
      </c>
      <c r="H35" s="446"/>
      <c r="I35" s="376">
        <f ca="1">'FCFF Model'!E29</f>
        <v>2.2554744570316125</v>
      </c>
      <c r="J35" s="377"/>
    </row>
    <row r="36" spans="2:10" ht="15.75" customHeight="1" x14ac:dyDescent="0.3">
      <c r="B36" s="3" t="s">
        <v>347</v>
      </c>
      <c r="C36" s="420">
        <f>E28</f>
        <v>10000</v>
      </c>
      <c r="D36" s="421"/>
      <c r="G36" s="439" t="s">
        <v>354</v>
      </c>
      <c r="H36" s="439"/>
      <c r="I36" s="440">
        <f ca="1">IF(C26="",0,I35/C29-1)</f>
        <v>0.28884254687520716</v>
      </c>
      <c r="J36" s="441"/>
    </row>
    <row r="37" spans="2:10" ht="15.75" customHeight="1" x14ac:dyDescent="0.3"/>
    <row r="38" spans="2:10" ht="15.75" customHeight="1" x14ac:dyDescent="0.3">
      <c r="B38" s="21" t="s">
        <v>356</v>
      </c>
      <c r="G38" s="373" t="s">
        <v>169</v>
      </c>
      <c r="H38" s="373"/>
      <c r="I38" s="373"/>
      <c r="J38" s="373"/>
    </row>
    <row r="39" spans="2:10" ht="15.75" customHeight="1" x14ac:dyDescent="0.3">
      <c r="B39" s="3" t="s">
        <v>357</v>
      </c>
      <c r="F39" s="235">
        <f>'Qualitative Analysis'!E8</f>
        <v>0.48000000000000009</v>
      </c>
      <c r="G39" s="372"/>
      <c r="H39" s="137"/>
      <c r="I39" s="137"/>
      <c r="J39" s="137"/>
    </row>
    <row r="40" spans="2:10" ht="15.75" customHeight="1" x14ac:dyDescent="0.3">
      <c r="B40" s="3" t="s">
        <v>358</v>
      </c>
      <c r="F40" s="235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67"/>
      <c r="F41" s="368">
        <f>'Qualitative Analysis'!E64</f>
        <v>0.45921768707482991</v>
      </c>
      <c r="G41" s="372" t="s">
        <v>360</v>
      </c>
      <c r="H41" s="137"/>
      <c r="I41" s="137"/>
      <c r="J41" s="137"/>
    </row>
    <row r="42" spans="2:10" ht="15.75" customHeight="1" x14ac:dyDescent="0.3">
      <c r="B42" s="3" t="s">
        <v>368</v>
      </c>
      <c r="E42" s="367">
        <f ca="1">IF(F42="Strongly disagree",0,IF(F42="disagree",1,IF(F42="So-so",2,IF(F42="agree",3,4))))/4</f>
        <v>0.75</v>
      </c>
      <c r="F42" s="123" t="str">
        <f ca="1">IF(F45&lt;D10,"Strongly Disagree",IF(F45&lt;10%,"Disagree",IF(F45&gt;=30%,"Strongly Agree",IF(F45&gt;=20%,"Agree","So-so"))))</f>
        <v>Agree</v>
      </c>
      <c r="G42" s="95" t="s">
        <v>361</v>
      </c>
      <c r="H42" s="95"/>
      <c r="I42" s="95"/>
      <c r="J42" s="95"/>
    </row>
    <row r="43" spans="2:10" ht="15.75" customHeight="1" x14ac:dyDescent="0.3">
      <c r="B43" s="3" t="s">
        <v>369</v>
      </c>
      <c r="F43" s="374">
        <f>AVERAGE(80%*0.5,0.6)</f>
        <v>0.5</v>
      </c>
      <c r="G43" s="137"/>
      <c r="H43" s="137"/>
      <c r="I43" s="137"/>
      <c r="J43" s="137"/>
    </row>
    <row r="44" spans="2:10" ht="15.75" customHeight="1" x14ac:dyDescent="0.3"/>
    <row r="45" spans="2:10" ht="15.75" customHeight="1" x14ac:dyDescent="0.3">
      <c r="B45" s="3" t="s">
        <v>362</v>
      </c>
      <c r="F45" s="368">
        <f ca="1">I35/C29-1</f>
        <v>0.28884254687520716</v>
      </c>
    </row>
    <row r="46" spans="2:10" ht="15.75" customHeight="1" x14ac:dyDescent="0.3">
      <c r="B46" s="3" t="s">
        <v>363</v>
      </c>
      <c r="F46" s="368">
        <f ca="1">D14/C29-1</f>
        <v>0.12622745777343414</v>
      </c>
    </row>
    <row r="47" spans="2:10" ht="15.75" customHeight="1" x14ac:dyDescent="0.3"/>
    <row r="48" spans="2:10" ht="15.75" customHeight="1" x14ac:dyDescent="0.3">
      <c r="B48" s="3" t="s">
        <v>364</v>
      </c>
      <c r="F48" s="235">
        <f ca="1">IF(F45&lt;=0,0,AVERAGE(F39:F41,1-F43,E42))</f>
        <v>0.59784353741496599</v>
      </c>
      <c r="G48" s="95"/>
    </row>
    <row r="49" spans="2:8" ht="15.75" customHeight="1" x14ac:dyDescent="0.3">
      <c r="B49" s="3" t="s">
        <v>365</v>
      </c>
      <c r="E49" s="375">
        <f ca="1">F45/ABS(F46)</f>
        <v>2.2882703333346943</v>
      </c>
      <c r="F49" s="369">
        <f ca="1">IF(F46&gt;=0,100,F45/ABS(F46))</f>
        <v>100</v>
      </c>
      <c r="G49" s="95"/>
    </row>
    <row r="50" spans="2:8" ht="15.75" customHeight="1" x14ac:dyDescent="0.3">
      <c r="B50" s="3" t="s">
        <v>366</v>
      </c>
      <c r="E50" s="128">
        <f ca="1">MAX(F48-ABS((1-F48)/F49),0)/2</f>
        <v>0.29691098639455782</v>
      </c>
      <c r="F50" s="370">
        <f ca="1">MIN(E50,H50)</f>
        <v>0.29691098639455782</v>
      </c>
      <c r="G50" s="371" t="s">
        <v>367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I32:J32"/>
    <mergeCell ref="E26:H26"/>
    <mergeCell ref="G35:H35"/>
    <mergeCell ref="G29:H29"/>
    <mergeCell ref="G30:H30"/>
    <mergeCell ref="G31:H31"/>
    <mergeCell ref="I30:J30"/>
    <mergeCell ref="I31:J31"/>
    <mergeCell ref="I35:J35"/>
    <mergeCell ref="I33:J33"/>
    <mergeCell ref="C36:D36"/>
    <mergeCell ref="C12:D12"/>
    <mergeCell ref="E27:F27"/>
    <mergeCell ref="C27:D27"/>
    <mergeCell ref="E16:E18"/>
    <mergeCell ref="C16:C18"/>
    <mergeCell ref="C22:F22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G16:G18"/>
    <mergeCell ref="I27:J27"/>
    <mergeCell ref="G27:H27"/>
    <mergeCell ref="I29:J29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G23:J23"/>
    <mergeCell ref="C35:D35"/>
    <mergeCell ref="C31:D31"/>
    <mergeCell ref="E31:F31"/>
    <mergeCell ref="E32:F32"/>
    <mergeCell ref="G28:H28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5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4F39980-E89F-4A27-9BCC-02EE39BCDEC6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G23" sqref="G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300">
        <f>C3</f>
        <v>44561</v>
      </c>
      <c r="D6" s="301">
        <f>EOMONTH(EDATE(C6,-12),0)</f>
        <v>44196</v>
      </c>
      <c r="E6" s="301">
        <f t="shared" ref="E6:M6" si="0">EOMONTH(EDATE(D6,-12),0)</f>
        <v>43830</v>
      </c>
      <c r="F6" s="301">
        <f t="shared" si="0"/>
        <v>43465</v>
      </c>
      <c r="G6" s="301">
        <f t="shared" si="0"/>
        <v>43100</v>
      </c>
      <c r="H6" s="301">
        <f t="shared" si="0"/>
        <v>42735</v>
      </c>
      <c r="I6" s="301">
        <f t="shared" si="0"/>
        <v>42369</v>
      </c>
      <c r="J6" s="301">
        <f t="shared" si="0"/>
        <v>42004</v>
      </c>
      <c r="K6" s="301">
        <f t="shared" si="0"/>
        <v>41639</v>
      </c>
      <c r="L6" s="301">
        <f t="shared" si="0"/>
        <v>41274</v>
      </c>
      <c r="M6" s="301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4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4" t="s">
        <v>79</v>
      </c>
      <c r="E49" s="410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5">
        <v>5</v>
      </c>
      <c r="E51" s="456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7" t="s">
        <v>83</v>
      </c>
      <c r="E52" s="458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F9" sqref="F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5">
        <v>2804928</v>
      </c>
      <c r="E3" s="177" t="str">
        <f>IF((C46-I46)=D3,"", "Error!")</f>
        <v/>
      </c>
      <c r="F3" s="6"/>
      <c r="G3" s="6"/>
      <c r="H3" s="296" t="s">
        <v>289</v>
      </c>
      <c r="I3" s="297">
        <v>2803646</v>
      </c>
    </row>
    <row r="4" spans="1:10" ht="15" customHeight="1" x14ac:dyDescent="0.3">
      <c r="B4" s="5" t="s">
        <v>255</v>
      </c>
      <c r="C4" s="6"/>
      <c r="D4" s="298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2.4016981621274289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E46-I46-E50+MIN('FCFF Model'!D4,0)</f>
        <v>2153529.4500000002</v>
      </c>
      <c r="E6" s="14">
        <f>1-D6/D3</f>
        <v>0.23223360813539595</v>
      </c>
      <c r="F6" s="6"/>
      <c r="G6" s="6"/>
      <c r="H6" s="3" t="s">
        <v>351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1.8447862968977873</v>
      </c>
      <c r="E7" s="49" t="str">
        <f>Dashboard!J4</f>
        <v>HKD</v>
      </c>
      <c r="H7" s="3" t="s">
        <v>352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353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3">
        <v>44742</v>
      </c>
      <c r="E9" s="290" t="str">
        <f>IF(D9=Data!C3,"FY","Quarter")</f>
        <v>Quarter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59">
        <f>D53+D54+D55</f>
        <v>19676</v>
      </c>
      <c r="E52" s="460"/>
      <c r="F52" s="53"/>
      <c r="G52" s="53"/>
    </row>
    <row r="53" spans="2:9" ht="14.5" thickTop="1" x14ac:dyDescent="0.3">
      <c r="B53" s="79" t="s">
        <v>265</v>
      </c>
      <c r="C53" s="6"/>
      <c r="D53" s="462">
        <f>SUM(I11:I13)+SUM(I28:I30)</f>
        <v>19676</v>
      </c>
      <c r="E53" s="379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67">
        <v>0</v>
      </c>
      <c r="E54" s="410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67">
        <v>0</v>
      </c>
      <c r="E55" s="410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61"/>
      <c r="E57" s="461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65">
        <f>((Dashboard!I6*Data!C4)+D52+E50-C58-C59)</f>
        <v>-47975.354999999981</v>
      </c>
      <c r="E60" s="46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3" t="s">
        <v>294</v>
      </c>
    </row>
    <row r="63" spans="2:9" ht="15" customHeight="1" x14ac:dyDescent="0.3">
      <c r="B63" s="3" t="s">
        <v>297</v>
      </c>
      <c r="D63" s="440">
        <f>((C26-C11-C12-C14-C15-C16*G16-C19*G19-C20*G20)-I26)/Data!C7</f>
        <v>-5.6597577264199846E-3</v>
      </c>
      <c r="E63" s="441"/>
    </row>
    <row r="64" spans="2:9" ht="15" customHeight="1" x14ac:dyDescent="0.3">
      <c r="B64" s="3" t="s">
        <v>296</v>
      </c>
      <c r="D64" s="463">
        <v>8.5599999999999996E-2</v>
      </c>
      <c r="E64" s="464"/>
      <c r="F64" s="287" t="s">
        <v>281</v>
      </c>
    </row>
    <row r="65" spans="2:5" ht="15" customHeight="1" x14ac:dyDescent="0.3">
      <c r="B65" s="313" t="s">
        <v>298</v>
      </c>
      <c r="D65" s="463">
        <v>8.5599999999999996E-2</v>
      </c>
      <c r="E65" s="46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0" sqref="E1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7" t="s">
        <v>292</v>
      </c>
      <c r="D2" s="307"/>
      <c r="E2" s="307">
        <v>1</v>
      </c>
      <c r="F2" s="307"/>
      <c r="G2" s="307">
        <v>2</v>
      </c>
      <c r="H2" s="12"/>
      <c r="I2" s="307">
        <v>3</v>
      </c>
      <c r="J2" s="307"/>
      <c r="K2" s="12"/>
      <c r="L2" s="12"/>
    </row>
    <row r="3" spans="1:13" ht="15.75" customHeight="1" x14ac:dyDescent="0.3">
      <c r="B3" s="29" t="str">
        <f>'FCFF Model'!B3</f>
        <v>(Numbers in 1000CNY)</v>
      </c>
      <c r="C3" s="299">
        <f>Data!C3</f>
        <v>44561</v>
      </c>
      <c r="D3" s="28" t="s">
        <v>280</v>
      </c>
      <c r="E3" s="299">
        <f>EOMONTH(EDATE(C3,12),0)</f>
        <v>44926</v>
      </c>
      <c r="F3" s="28" t="s">
        <v>280</v>
      </c>
      <c r="G3" s="299">
        <f>IF(G9="","",EOMONTH(EDATE(E3,12),0))</f>
        <v>45291</v>
      </c>
      <c r="H3" s="28"/>
      <c r="I3" s="299" t="str">
        <f>IF(I16="","",EOMONTH(EDATE(G3,12),0))</f>
        <v/>
      </c>
      <c r="J3" s="318"/>
      <c r="L3" s="93" t="s">
        <v>169</v>
      </c>
    </row>
    <row r="4" spans="1:13" ht="15.75" customHeight="1" x14ac:dyDescent="0.3">
      <c r="B4" s="314" t="s">
        <v>313</v>
      </c>
      <c r="C4" s="315">
        <v>1608309</v>
      </c>
      <c r="D4" s="281">
        <f>C4/C8</f>
        <v>0.90908212216326756</v>
      </c>
      <c r="E4" s="315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8"/>
      <c r="K4" s="6"/>
      <c r="L4" s="95" t="s">
        <v>317</v>
      </c>
      <c r="M4" s="78"/>
    </row>
    <row r="5" spans="1:13" ht="15.75" customHeight="1" x14ac:dyDescent="0.3">
      <c r="B5" s="314" t="s">
        <v>314</v>
      </c>
      <c r="C5" s="315">
        <v>100817</v>
      </c>
      <c r="D5" s="281">
        <f>C5/C8</f>
        <v>5.6985897803304063E-2</v>
      </c>
      <c r="E5" s="315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8"/>
      <c r="K5" s="6"/>
      <c r="L5" s="95"/>
      <c r="M5" s="78"/>
    </row>
    <row r="6" spans="1:13" ht="15.75" customHeight="1" x14ac:dyDescent="0.3">
      <c r="B6" s="314" t="s">
        <v>315</v>
      </c>
      <c r="C6" s="315">
        <v>52662</v>
      </c>
      <c r="D6" s="281">
        <f>C6/C8</f>
        <v>2.9766719403648178E-2</v>
      </c>
      <c r="E6" s="315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8"/>
      <c r="K6" s="6"/>
      <c r="L6" s="95" t="s">
        <v>319</v>
      </c>
      <c r="M6" s="78"/>
    </row>
    <row r="7" spans="1:13" ht="15.75" customHeight="1" x14ac:dyDescent="0.3">
      <c r="B7" s="314" t="s">
        <v>316</v>
      </c>
      <c r="C7" s="315">
        <v>7369</v>
      </c>
      <c r="D7" s="281">
        <f>C7/C8</f>
        <v>4.1652606297801721E-3</v>
      </c>
      <c r="E7" s="315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8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9">
        <f>SUM(E4:E7)</f>
        <v>1419280.6600000001</v>
      </c>
      <c r="F8" s="280"/>
      <c r="G8" s="359">
        <f>SUM(G4:G7)</f>
        <v>1352566.399</v>
      </c>
      <c r="H8" s="280"/>
      <c r="I8" s="249"/>
      <c r="J8" s="309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9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3">
        <f>IF(G8="","",G8*(1-G11))</f>
        <v>759736.54631829995</v>
      </c>
      <c r="H10" s="283"/>
      <c r="I10" s="303" t="str">
        <f>IF(I8="","",I8*(1-I11))</f>
        <v/>
      </c>
      <c r="J10" s="350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1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2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3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4"/>
      <c r="K16" s="6"/>
      <c r="L16" s="98"/>
      <c r="M16" s="99"/>
    </row>
    <row r="17" spans="2:13" ht="15.75" customHeight="1" x14ac:dyDescent="0.3">
      <c r="B17" s="155" t="s">
        <v>276</v>
      </c>
      <c r="C17" s="341">
        <f>C12-C14</f>
        <v>82036</v>
      </c>
      <c r="D17" s="342"/>
      <c r="E17" s="341">
        <f>E12-E14</f>
        <v>54358.449278000044</v>
      </c>
      <c r="F17" s="342"/>
      <c r="G17" s="341">
        <f>IF(G9="","",G12-G14)</f>
        <v>51803.293081699987</v>
      </c>
      <c r="H17" s="342"/>
      <c r="I17" s="341" t="str">
        <f>IF(I9="","",I12-I14)</f>
        <v/>
      </c>
      <c r="J17" s="355"/>
      <c r="K17" s="6"/>
      <c r="L17" s="100"/>
      <c r="M17" s="77"/>
    </row>
    <row r="18" spans="2:13" ht="15.75" customHeight="1" x14ac:dyDescent="0.3">
      <c r="B18" s="337" t="s">
        <v>176</v>
      </c>
      <c r="C18" s="338">
        <v>0.25</v>
      </c>
      <c r="D18" s="339"/>
      <c r="E18" s="340">
        <f>IF(E17="","",C18)</f>
        <v>0.25</v>
      </c>
      <c r="F18" s="340"/>
      <c r="G18" s="340">
        <f>IF(G17="","",E18)</f>
        <v>0.25</v>
      </c>
      <c r="H18" s="340"/>
      <c r="I18" s="340" t="str">
        <f>IF(I17="","",G18)</f>
        <v/>
      </c>
      <c r="J18" s="356"/>
    </row>
    <row r="19" spans="2:13" ht="15.75" customHeight="1" x14ac:dyDescent="0.3">
      <c r="B19" s="346" t="s">
        <v>307</v>
      </c>
      <c r="C19" s="209"/>
      <c r="D19" s="348"/>
      <c r="E19" s="347">
        <f>E20/C20-1</f>
        <v>-0.33738298700570424</v>
      </c>
      <c r="F19" s="347"/>
      <c r="G19" s="347">
        <f>IF(G20="","",G20/E20-1)</f>
        <v>-4.7005685964889743E-2</v>
      </c>
      <c r="H19" s="347"/>
      <c r="I19" s="347" t="str">
        <f>IF(I20="","",I20/G20-1)</f>
        <v/>
      </c>
      <c r="J19" s="357"/>
    </row>
    <row r="20" spans="2:13" ht="15.75" customHeight="1" x14ac:dyDescent="0.3">
      <c r="B20" s="343" t="s">
        <v>100</v>
      </c>
      <c r="C20" s="344">
        <f>IF(C17&lt;=0,C17,C17*(1-C18))</f>
        <v>61527</v>
      </c>
      <c r="D20" s="344"/>
      <c r="E20" s="345">
        <f>IF(E17="","",IF(E17&lt;=0,E17,E17*(1-E18)))</f>
        <v>40768.836958500033</v>
      </c>
      <c r="F20" s="344"/>
      <c r="G20" s="345">
        <f>IF(G17="","",IF(G17&lt;=0,G17,G17*(1-G18)))</f>
        <v>38852.46981127499</v>
      </c>
      <c r="H20" s="344"/>
      <c r="I20" s="345" t="str">
        <f>IF(I17="","",IF(I17&lt;=0,I17,I17*(1-I18)))</f>
        <v/>
      </c>
      <c r="J20" s="358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10:H13 G15:H17 H9 H14">
    <cfRule type="containsBlanks" priority="9">
      <formula>LEN(TRIM(G9))=0</formula>
    </cfRule>
  </conditionalFormatting>
  <conditionalFormatting sqref="G15:H17">
    <cfRule type="containsBlanks" dxfId="4" priority="8">
      <formula>LEN(TRIM(G15))=0</formula>
    </cfRule>
  </conditionalFormatting>
  <conditionalFormatting sqref="G10:J13 G15:J20 H9:J9 H14:J14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7" t="s">
        <v>292</v>
      </c>
      <c r="D2" s="307">
        <v>1</v>
      </c>
      <c r="E2" s="307">
        <v>2</v>
      </c>
      <c r="F2" s="307">
        <v>3</v>
      </c>
      <c r="G2" s="307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9">
        <f>Operation!C3</f>
        <v>44561</v>
      </c>
      <c r="D3" s="299">
        <f>Operation!E3</f>
        <v>44926</v>
      </c>
      <c r="E3" s="299">
        <f>Operation!G3</f>
        <v>45291</v>
      </c>
      <c r="F3" s="299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5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30"/>
      <c r="G6" s="220"/>
      <c r="H6" s="6"/>
      <c r="I6" s="98"/>
    </row>
    <row r="7" spans="1:10" ht="15" customHeight="1" thickBot="1" x14ac:dyDescent="0.35">
      <c r="B7" s="102" t="s">
        <v>299</v>
      </c>
      <c r="C7" s="331">
        <f>C4*C6</f>
        <v>18458.099999999999</v>
      </c>
      <c r="D7" s="331">
        <f>D4*D6</f>
        <v>12230.65108755001</v>
      </c>
      <c r="E7" s="331">
        <f>E4*E6</f>
        <v>11655.740943382496</v>
      </c>
      <c r="F7" s="332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7">
        <f>D8/(Common_Shares/Data!$C$4)</f>
        <v>2.1403636727757927E-2</v>
      </c>
      <c r="E9" s="327">
        <f>IF(E8="","",E8/(Common_Shares/Data!$C$4))</f>
        <v>2.0397544101226361E-2</v>
      </c>
      <c r="F9" s="327" t="str">
        <f>IF(F8="","",F8/(Common_Shares/Data!$C$4))</f>
        <v/>
      </c>
      <c r="G9" s="328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3">
        <f>C11/C9</f>
        <v>0.52009693305378113</v>
      </c>
      <c r="D10" s="333">
        <f>D11/D9</f>
        <v>0.78491334036764093</v>
      </c>
      <c r="E10" s="360"/>
      <c r="F10" s="360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5">
        <f>0.0168</f>
        <v>1.6799999999999999E-2</v>
      </c>
      <c r="D11" s="306">
        <v>1.6799999999999999E-2</v>
      </c>
      <c r="E11" s="361"/>
      <c r="F11" s="361"/>
      <c r="G11" s="304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2"/>
      <c r="F12" s="362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345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(G18+MIN(D4,0))*Data!C$4/Dashboard!I5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70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70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73" t="s">
        <v>260</v>
      </c>
      <c r="F23" s="473"/>
      <c r="G23" s="473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6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343</v>
      </c>
      <c r="C25" s="14">
        <f>1/D25</f>
        <v>0.16666666666666666</v>
      </c>
      <c r="D25" s="319">
        <v>6</v>
      </c>
      <c r="E25" s="227">
        <f ca="1">G9*D25/G14</f>
        <v>9.7153368871105567E-2</v>
      </c>
      <c r="F25" s="471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3" t="s">
        <v>344</v>
      </c>
      <c r="C26" s="324">
        <f t="shared" ref="C26" si="0">1/D26</f>
        <v>7.1428571428571425E-2</v>
      </c>
      <c r="D26" s="336">
        <v>14</v>
      </c>
      <c r="E26" s="228">
        <f ca="1">G9*D26/G14</f>
        <v>0.2266911940325797</v>
      </c>
      <c r="F26" s="472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1.9708980511035099</v>
      </c>
      <c r="D29" s="23" t="str">
        <f ca="1">IF(C29&lt;E29,"&lt;",IF(C29=E29,"=","&gt;"))</f>
        <v>&lt;</v>
      </c>
      <c r="E29" s="272">
        <f ca="1">G26*Exchange_Rate</f>
        <v>2.2554744570316125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68" t="s">
        <v>181</v>
      </c>
      <c r="D31" s="469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2.1015805700298813</v>
      </c>
      <c r="D32" s="140" t="str">
        <f>Dashboard!J4</f>
        <v>HKD</v>
      </c>
      <c r="E32" s="141">
        <f ca="1">(C32-G19)/C9</f>
        <v>11.96849645498113</v>
      </c>
      <c r="F32" s="179">
        <f ca="1">C32/(Data!C28*Exchange_Rate*Data!C4/Common_Shares)</f>
        <v>0.89691717438538421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2.2793213519090889</v>
      </c>
      <c r="D33" s="229" t="str">
        <f>D32</f>
        <v>HKD</v>
      </c>
      <c r="E33" s="141">
        <f ca="1">(C33-G19)/C9</f>
        <v>17.471022379621427</v>
      </c>
      <c r="F33" s="179">
        <f ca="1">C33/(Data!C28*Exchange_Rate*Data!C4/Common_Shares)</f>
        <v>0.97277377590215641</v>
      </c>
      <c r="G33" s="302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6 E8:F9 E13:F15 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5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324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325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326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327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328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6"/>
    </row>
    <row r="11" spans="1:7" ht="15" customHeight="1" x14ac:dyDescent="0.3">
      <c r="B11" s="120" t="s">
        <v>187</v>
      </c>
      <c r="C11" s="114"/>
      <c r="E11" s="6"/>
      <c r="G11" s="316"/>
    </row>
    <row r="12" spans="1:7" ht="15" customHeight="1" x14ac:dyDescent="0.3">
      <c r="B12" s="53" t="s">
        <v>329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6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6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6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6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6"/>
    </row>
    <row r="17" spans="2:7" ht="15" customHeight="1" x14ac:dyDescent="0.3">
      <c r="B17" s="120" t="s">
        <v>194</v>
      </c>
      <c r="D17" s="38"/>
      <c r="E17" s="23"/>
      <c r="G17" s="316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6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6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6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6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6"/>
    </row>
    <row r="23" spans="2:7" ht="15" customHeight="1" x14ac:dyDescent="0.3">
      <c r="B23" s="120" t="s">
        <v>200</v>
      </c>
      <c r="D23" s="38"/>
      <c r="E23" s="23"/>
      <c r="G23" s="316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6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6"/>
    </row>
    <row r="26" spans="2:7" ht="15" customHeight="1" x14ac:dyDescent="0.3">
      <c r="B26" s="53" t="s">
        <v>330</v>
      </c>
      <c r="D26" s="121">
        <f t="shared" si="2"/>
        <v>2</v>
      </c>
      <c r="E26" s="31" t="s">
        <v>183</v>
      </c>
      <c r="F26" s="6"/>
      <c r="G26" s="316"/>
    </row>
    <row r="27" spans="2:7" ht="15" customHeight="1" x14ac:dyDescent="0.3">
      <c r="B27" s="53" t="s">
        <v>331</v>
      </c>
      <c r="D27" s="121">
        <f t="shared" si="2"/>
        <v>2</v>
      </c>
      <c r="E27" s="31" t="s">
        <v>183</v>
      </c>
      <c r="F27" s="6"/>
      <c r="G27" s="316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6"/>
    </row>
    <row r="29" spans="2:7" ht="15" customHeight="1" x14ac:dyDescent="0.3">
      <c r="B29" s="120" t="s">
        <v>204</v>
      </c>
      <c r="D29" s="38"/>
      <c r="E29" s="23"/>
      <c r="G29" s="316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6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6"/>
    </row>
    <row r="32" spans="2:7" ht="15" customHeight="1" x14ac:dyDescent="0.3">
      <c r="B32" s="53" t="s">
        <v>332</v>
      </c>
      <c r="D32" s="121">
        <f t="shared" si="3"/>
        <v>4</v>
      </c>
      <c r="E32" s="31" t="s">
        <v>193</v>
      </c>
      <c r="F32" s="6"/>
      <c r="G32" s="316"/>
    </row>
    <row r="33" spans="2:7" ht="15" customHeight="1" x14ac:dyDescent="0.3">
      <c r="B33" s="53" t="s">
        <v>333</v>
      </c>
      <c r="D33" s="121">
        <f t="shared" si="3"/>
        <v>1</v>
      </c>
      <c r="E33" s="31" t="s">
        <v>191</v>
      </c>
      <c r="F33" s="6"/>
      <c r="G33" s="316"/>
    </row>
    <row r="34" spans="2:7" ht="15" customHeight="1" x14ac:dyDescent="0.3">
      <c r="B34" s="53" t="s">
        <v>334</v>
      </c>
      <c r="D34" s="121">
        <f t="shared" si="3"/>
        <v>3</v>
      </c>
      <c r="E34" s="31" t="s">
        <v>184</v>
      </c>
      <c r="F34" s="6"/>
      <c r="G34" s="316"/>
    </row>
    <row r="35" spans="2:7" ht="15" customHeight="1" x14ac:dyDescent="0.3">
      <c r="B35" s="53" t="s">
        <v>335</v>
      </c>
      <c r="D35" s="121">
        <f t="shared" si="3"/>
        <v>4</v>
      </c>
      <c r="E35" s="31" t="s">
        <v>193</v>
      </c>
      <c r="G35" s="316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6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6"/>
    </row>
    <row r="38" spans="2:7" ht="15" customHeight="1" x14ac:dyDescent="0.3">
      <c r="B38" s="53" t="s">
        <v>336</v>
      </c>
      <c r="D38" s="121">
        <f t="shared" si="4"/>
        <v>0</v>
      </c>
      <c r="E38" s="31" t="s">
        <v>207</v>
      </c>
      <c r="F38" s="6"/>
      <c r="G38" s="316"/>
    </row>
    <row r="39" spans="2:7" ht="15" customHeight="1" x14ac:dyDescent="0.3">
      <c r="B39" s="53" t="s">
        <v>337</v>
      </c>
      <c r="D39" s="121">
        <f t="shared" si="4"/>
        <v>3</v>
      </c>
      <c r="E39" s="31" t="s">
        <v>184</v>
      </c>
      <c r="F39" s="6"/>
      <c r="G39" s="316"/>
    </row>
    <row r="40" spans="2:7" ht="15" customHeight="1" x14ac:dyDescent="0.3">
      <c r="B40" s="53" t="s">
        <v>338</v>
      </c>
      <c r="D40" s="121">
        <f t="shared" si="4"/>
        <v>3</v>
      </c>
      <c r="E40" s="31" t="s">
        <v>184</v>
      </c>
      <c r="F40" s="6"/>
      <c r="G40" s="316"/>
    </row>
    <row r="41" spans="2:7" ht="15" customHeight="1" x14ac:dyDescent="0.3">
      <c r="B41" s="53" t="s">
        <v>339</v>
      </c>
      <c r="D41" s="121">
        <f t="shared" si="4"/>
        <v>0</v>
      </c>
      <c r="E41" s="31" t="s">
        <v>207</v>
      </c>
      <c r="G41" s="316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6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6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6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6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6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6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6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6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6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6"/>
    </row>
    <row r="52" spans="2:8" ht="15" customHeight="1" x14ac:dyDescent="0.3">
      <c r="B52" s="53" t="s">
        <v>340</v>
      </c>
      <c r="D52" s="121">
        <f t="shared" si="6"/>
        <v>3</v>
      </c>
      <c r="E52" s="31" t="s">
        <v>184</v>
      </c>
      <c r="G52" s="316"/>
    </row>
    <row r="53" spans="2:8" ht="15" customHeight="1" x14ac:dyDescent="0.3">
      <c r="B53" s="53" t="s">
        <v>341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6"/>
      <c r="H53" s="53"/>
    </row>
    <row r="54" spans="2:8" ht="15" customHeight="1" x14ac:dyDescent="0.3">
      <c r="B54" s="53" t="s">
        <v>342</v>
      </c>
      <c r="D54" s="125">
        <f t="array" ref="D54">(1-INDEX(B68:E77,MATCH(E54,B68:B77,0),4))*4</f>
        <v>2.3129251700680271</v>
      </c>
      <c r="E54" s="31" t="s">
        <v>312</v>
      </c>
      <c r="F54" s="53"/>
      <c r="G54" s="316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6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6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6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6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6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6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6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6"/>
      <c r="H62" s="53"/>
    </row>
    <row r="63" spans="2:8" ht="15" customHeight="1" x14ac:dyDescent="0.3">
      <c r="D63" s="6"/>
      <c r="G63" s="316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6"/>
    </row>
    <row r="65" spans="2:7" ht="15" customHeight="1" x14ac:dyDescent="0.3">
      <c r="G65" s="317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2023-03-24T01:58:50Z</dcterms:modified>
  <cp:category/>
  <cp:contentStatus/>
</cp:coreProperties>
</file>