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A91A5EC4-11D1-472C-BD5D-67ECE58CDC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6" i="1" l="1"/>
  <c r="E7" i="7"/>
  <c r="G7" i="7" s="1"/>
  <c r="G13" i="7"/>
  <c r="G10" i="7"/>
  <c r="C13" i="7"/>
  <c r="E13" i="7" s="1"/>
  <c r="C9" i="7"/>
  <c r="C7" i="7"/>
  <c r="E4" i="7"/>
  <c r="C6" i="7"/>
  <c r="C5" i="7"/>
  <c r="E5" i="7" s="1"/>
  <c r="C4" i="7"/>
  <c r="E6" i="7"/>
  <c r="C32" i="3"/>
  <c r="C36" i="3"/>
  <c r="E36" i="3" s="1"/>
  <c r="E33" i="3"/>
  <c r="I10" i="1"/>
  <c r="B15" i="1"/>
  <c r="G24" i="4"/>
  <c r="F24" i="4"/>
  <c r="C12" i="1"/>
  <c r="D13" i="4" s="1"/>
  <c r="F43" i="1"/>
  <c r="F40" i="1"/>
  <c r="B16" i="1"/>
  <c r="G34" i="4"/>
  <c r="G3" i="7"/>
  <c r="E3" i="4" s="1"/>
  <c r="C15" i="4"/>
  <c r="D65" i="3"/>
  <c r="E6" i="1"/>
  <c r="C3" i="7"/>
  <c r="C3" i="4" s="1"/>
  <c r="E26" i="1"/>
  <c r="E7" i="3"/>
  <c r="C26" i="4"/>
  <c r="G31" i="3"/>
  <c r="G34" i="2"/>
  <c r="H34" i="2"/>
  <c r="I34" i="2"/>
  <c r="I35" i="2" s="1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I16" i="7"/>
  <c r="I19" i="7" s="1"/>
  <c r="F4" i="4" s="1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E43" i="2" s="1"/>
  <c r="F27" i="2"/>
  <c r="I14" i="7"/>
  <c r="I4" i="3"/>
  <c r="D4" i="3"/>
  <c r="C50" i="3" s="1"/>
  <c r="D6" i="1"/>
  <c r="C29" i="4"/>
  <c r="B3" i="4"/>
  <c r="B3" i="7" s="1"/>
  <c r="G35" i="3"/>
  <c r="G34" i="3"/>
  <c r="G33" i="3"/>
  <c r="G20" i="3"/>
  <c r="G19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53" i="3"/>
  <c r="D52" i="3" s="1"/>
  <c r="C20" i="4" s="1"/>
  <c r="D20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C44" i="3"/>
  <c r="I15" i="7"/>
  <c r="I3" i="7" s="1"/>
  <c r="F3" i="4" s="1"/>
  <c r="E12" i="3"/>
  <c r="I18" i="7"/>
  <c r="D53" i="5"/>
  <c r="E35" i="3"/>
  <c r="C14" i="2"/>
  <c r="C13" i="2" s="1"/>
  <c r="D43" i="2"/>
  <c r="G27" i="2"/>
  <c r="H27" i="2"/>
  <c r="I27" i="2"/>
  <c r="J27" i="2"/>
  <c r="K27" i="2"/>
  <c r="L27" i="2"/>
  <c r="M27" i="2"/>
  <c r="E11" i="3"/>
  <c r="C42" i="2"/>
  <c r="D31" i="5"/>
  <c r="D32" i="5"/>
  <c r="D33" i="5"/>
  <c r="D34" i="5"/>
  <c r="J12" i="1"/>
  <c r="E5" i="1"/>
  <c r="E4" i="2"/>
  <c r="G35" i="2"/>
  <c r="H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5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E40" i="3"/>
  <c r="E32" i="3"/>
  <c r="E39" i="3"/>
  <c r="E30" i="3"/>
  <c r="E29" i="3"/>
  <c r="E38" i="3"/>
  <c r="E34" i="3"/>
  <c r="E37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 s="1"/>
  <c r="G30" i="1"/>
  <c r="E30" i="1"/>
  <c r="I28" i="1"/>
  <c r="I6" i="1"/>
  <c r="C2" i="1"/>
  <c r="D33" i="2"/>
  <c r="D34" i="2" s="1"/>
  <c r="D36" i="5"/>
  <c r="E33" i="2"/>
  <c r="E34" i="2" s="1"/>
  <c r="D6" i="5"/>
  <c r="D55" i="5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3" i="2"/>
  <c r="C23" i="4"/>
  <c r="D42" i="5"/>
  <c r="E42" i="5"/>
  <c r="E24" i="3"/>
  <c r="D54" i="5" a="1"/>
  <c r="D54" i="5"/>
  <c r="D49" i="5"/>
  <c r="E30" i="5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E12" i="2" s="1"/>
  <c r="I14" i="2"/>
  <c r="K13" i="2"/>
  <c r="K12" i="2"/>
  <c r="C33" i="2"/>
  <c r="C34" i="2" s="1"/>
  <c r="E55" i="5"/>
  <c r="C25" i="4"/>
  <c r="I16" i="2"/>
  <c r="I45" i="2" s="1"/>
  <c r="I44" i="2"/>
  <c r="D44" i="2"/>
  <c r="E49" i="5"/>
  <c r="H15" i="2"/>
  <c r="I15" i="2"/>
  <c r="H17" i="2"/>
  <c r="E36" i="5"/>
  <c r="K17" i="2"/>
  <c r="J17" i="2"/>
  <c r="G17" i="2"/>
  <c r="I13" i="2"/>
  <c r="I12" i="2"/>
  <c r="L17" i="2"/>
  <c r="C27" i="4"/>
  <c r="D62" i="5"/>
  <c r="E62" i="5"/>
  <c r="I17" i="2"/>
  <c r="E6" i="5"/>
  <c r="F16" i="1"/>
  <c r="D12" i="5"/>
  <c r="D5" i="5"/>
  <c r="E5" i="5"/>
  <c r="I36" i="1"/>
  <c r="G9" i="7" l="1"/>
  <c r="G11" i="7" s="1"/>
  <c r="G16" i="7" s="1"/>
  <c r="G12" i="7"/>
  <c r="C10" i="7"/>
  <c r="D63" i="3"/>
  <c r="E58" i="3"/>
  <c r="C19" i="4" s="1"/>
  <c r="D19" i="4" s="1"/>
  <c r="G4" i="4"/>
  <c r="B24" i="4" s="1"/>
  <c r="G2" i="4" s="1"/>
  <c r="C12" i="7"/>
  <c r="D6" i="7"/>
  <c r="I53" i="3"/>
  <c r="E42" i="3"/>
  <c r="C42" i="3"/>
  <c r="C46" i="3" s="1"/>
  <c r="E3" i="3" s="1"/>
  <c r="C58" i="3"/>
  <c r="F4" i="7"/>
  <c r="F14" i="4"/>
  <c r="F13" i="4"/>
  <c r="F8" i="4"/>
  <c r="F9" i="4" s="1"/>
  <c r="F15" i="4" s="1"/>
  <c r="F5" i="4"/>
  <c r="I17" i="7"/>
  <c r="E26" i="3"/>
  <c r="D26" i="3" s="1"/>
  <c r="E25" i="3"/>
  <c r="I6" i="3"/>
  <c r="E59" i="3"/>
  <c r="D59" i="3" s="1"/>
  <c r="C25" i="3"/>
  <c r="E44" i="3"/>
  <c r="E45" i="3" s="1"/>
  <c r="C18" i="4"/>
  <c r="D18" i="4" s="1"/>
  <c r="I24" i="3"/>
  <c r="J24" i="3" s="1"/>
  <c r="D24" i="3"/>
  <c r="I25" i="3"/>
  <c r="J25" i="3" s="1"/>
  <c r="E3" i="7"/>
  <c r="D3" i="4" s="1"/>
  <c r="E50" i="3"/>
  <c r="F13" i="2"/>
  <c r="F12" i="2" s="1"/>
  <c r="E15" i="2"/>
  <c r="F16" i="2"/>
  <c r="D15" i="2"/>
  <c r="E44" i="2"/>
  <c r="E16" i="2"/>
  <c r="E35" i="2" s="1"/>
  <c r="D13" i="2"/>
  <c r="D12" i="2" s="1"/>
  <c r="D45" i="2"/>
  <c r="D17" i="2"/>
  <c r="D35" i="2"/>
  <c r="C15" i="2"/>
  <c r="C44" i="2"/>
  <c r="C16" i="2"/>
  <c r="C35" i="2" s="1"/>
  <c r="C12" i="2"/>
  <c r="C17" i="4"/>
  <c r="G13" i="4"/>
  <c r="C11" i="1"/>
  <c r="G14" i="7" l="1"/>
  <c r="D4" i="7"/>
  <c r="C11" i="7"/>
  <c r="C16" i="7" s="1"/>
  <c r="D60" i="3"/>
  <c r="D58" i="3"/>
  <c r="E9" i="7"/>
  <c r="E11" i="7" s="1"/>
  <c r="E16" i="7" s="1"/>
  <c r="E12" i="7"/>
  <c r="E46" i="3"/>
  <c r="D46" i="3" s="1"/>
  <c r="D42" i="3"/>
  <c r="F6" i="7"/>
  <c r="E8" i="7"/>
  <c r="C45" i="3"/>
  <c r="D45" i="3" s="1"/>
  <c r="I7" i="3"/>
  <c r="D25" i="3"/>
  <c r="I44" i="3"/>
  <c r="J44" i="3" s="1"/>
  <c r="D44" i="3"/>
  <c r="I45" i="3"/>
  <c r="J45" i="3" s="1"/>
  <c r="D50" i="3"/>
  <c r="D49" i="3"/>
  <c r="C21" i="4"/>
  <c r="D21" i="4" s="1"/>
  <c r="G21" i="4" s="1"/>
  <c r="F17" i="2"/>
  <c r="F45" i="2"/>
  <c r="E45" i="2"/>
  <c r="E17" i="2"/>
  <c r="C45" i="2"/>
  <c r="F4" i="2"/>
  <c r="C17" i="2"/>
  <c r="G18" i="4"/>
  <c r="E17" i="7" l="1"/>
  <c r="G17" i="7" s="1"/>
  <c r="G19" i="7" s="1"/>
  <c r="G15" i="7"/>
  <c r="C19" i="7"/>
  <c r="C14" i="7"/>
  <c r="E15" i="7"/>
  <c r="E14" i="7"/>
  <c r="E19" i="7"/>
  <c r="E18" i="7" s="1"/>
  <c r="J26" i="3"/>
  <c r="D18" i="5" s="1"/>
  <c r="E64" i="5" s="1"/>
  <c r="E4" i="4" l="1"/>
  <c r="G18" i="7"/>
  <c r="C18" i="7"/>
  <c r="C4" i="4"/>
  <c r="D4" i="4"/>
  <c r="G19" i="4" s="1"/>
  <c r="H16" i="1" s="1"/>
  <c r="E18" i="5"/>
  <c r="D64" i="5"/>
  <c r="E7" i="5" s="1"/>
  <c r="D7" i="5" s="1"/>
  <c r="D8" i="5" s="1"/>
  <c r="E8" i="5" s="1"/>
  <c r="F41" i="1"/>
  <c r="E7" i="4" l="1"/>
  <c r="E5" i="4"/>
  <c r="E13" i="4"/>
  <c r="E14" i="4" s="1"/>
  <c r="E8" i="4"/>
  <c r="E9" i="4" s="1"/>
  <c r="D6" i="3"/>
  <c r="E6" i="3" s="1"/>
  <c r="F21" i="4"/>
  <c r="E20" i="4" s="1"/>
  <c r="D14" i="4"/>
  <c r="C7" i="4"/>
  <c r="C8" i="4" s="1"/>
  <c r="C9" i="4" s="1"/>
  <c r="C10" i="4" s="1"/>
  <c r="J10" i="1"/>
  <c r="D5" i="4"/>
  <c r="D7" i="4"/>
  <c r="D8" i="4" s="1"/>
  <c r="D9" i="4" s="1"/>
  <c r="J16" i="1"/>
  <c r="D7" i="3"/>
  <c r="F39" i="1"/>
  <c r="E15" i="4" l="1"/>
  <c r="G14" i="4"/>
  <c r="G29" i="4"/>
  <c r="G8" i="4"/>
  <c r="G9" i="4" s="1"/>
  <c r="D10" i="4"/>
  <c r="D15" i="4"/>
  <c r="E26" i="4" l="1"/>
  <c r="F26" i="4" s="1"/>
  <c r="G26" i="4" s="1"/>
  <c r="E30" i="4" s="1"/>
  <c r="E27" i="4"/>
  <c r="F27" i="4" s="1"/>
  <c r="G27" i="4" s="1"/>
  <c r="G12" i="4"/>
  <c r="G15" i="4" s="1"/>
  <c r="E25" i="4"/>
  <c r="F25" i="4" s="1"/>
  <c r="G25" i="4" s="1"/>
  <c r="C30" i="4" s="1"/>
  <c r="F14" i="1" l="1"/>
  <c r="C34" i="4"/>
  <c r="F34" i="4" s="1"/>
  <c r="E34" i="4" l="1"/>
  <c r="C33" i="4"/>
  <c r="H14" i="1" s="1"/>
  <c r="B17" i="1" s="1"/>
  <c r="D30" i="4"/>
  <c r="D14" i="1"/>
  <c r="D17" i="1" l="1"/>
  <c r="J25" i="1" s="1"/>
  <c r="C29" i="1"/>
  <c r="E33" i="4"/>
  <c r="J17" i="1"/>
  <c r="D16" i="1"/>
  <c r="F33" i="4"/>
  <c r="F17" i="1"/>
  <c r="C31" i="1" l="1"/>
  <c r="C35" i="1"/>
  <c r="B18" i="1" s="1"/>
  <c r="C30" i="1"/>
  <c r="F45" i="1"/>
  <c r="F46" i="1"/>
  <c r="F42" i="1" l="1"/>
  <c r="E49" i="1"/>
  <c r="F18" i="1"/>
  <c r="J18" i="1"/>
  <c r="D18" i="1"/>
  <c r="F49" i="1"/>
  <c r="C27" i="1"/>
  <c r="I27" i="1" s="1"/>
  <c r="I31" i="1"/>
  <c r="I32" i="1" s="1"/>
  <c r="I33" i="1" s="1"/>
  <c r="E32" i="1"/>
  <c r="E33" i="1" s="1"/>
  <c r="D49" i="1" l="1"/>
  <c r="E42" i="1"/>
  <c r="F48" i="1" s="1"/>
  <c r="E50" i="1" l="1"/>
  <c r="F50" i="1" s="1"/>
  <c r="C50" i="1"/>
  <c r="B50" i="1"/>
</calcChain>
</file>

<file path=xl/sharedStrings.xml><?xml version="1.0" encoding="utf-8"?>
<sst xmlns="http://schemas.openxmlformats.org/spreadsheetml/2006/main" count="411" uniqueCount="346">
  <si>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</si>
  <si>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</si>
  <si>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</si>
  <si>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</si>
  <si>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</si>
  <si>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</si>
  <si>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</si>
  <si>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</si>
  <si>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</si>
  <si>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</si>
  <si>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</si>
  <si>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</si>
  <si>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</si>
  <si>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</si>
  <si>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</si>
  <si>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</si>
  <si>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</si>
  <si>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</si>
  <si>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</si>
  <si>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</si>
  <si>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</si>
  <si>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</si>
  <si>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</si>
  <si>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</si>
  <si>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</si>
  <si>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</si>
  <si>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</si>
  <si>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</si>
  <si>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</si>
  <si>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</si>
  <si>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</si>
  <si>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</si>
  <si>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</si>
  <si>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</si>
  <si>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</si>
  <si>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</si>
  <si>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</si>
  <si>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</si>
  <si>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</si>
  <si>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</si>
  <si>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</si>
  <si>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</si>
  <si>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</si>
  <si>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</si>
  <si>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</si>
  <si>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</si>
  <si>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</si>
  <si>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</si>
  <si>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</si>
  <si>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</si>
  <si>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</si>
  <si>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</si>
  <si>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</si>
  <si>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</si>
  <si>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</si>
  <si>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</si>
  <si>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</si>
  <si>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</si>
  <si>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</si>
  <si>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</si>
  <si>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</si>
  <si>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</si>
  <si>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</si>
  <si>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</si>
  <si>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</si>
  <si>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</si>
  <si>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</si>
  <si>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</si>
  <si>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</si>
  <si>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</si>
  <si>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</si>
  <si>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</si>
  <si>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</si>
  <si>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</si>
  <si>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</si>
  <si>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</si>
  <si>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</si>
  <si>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</si>
  <si>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</si>
  <si>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</si>
  <si>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</si>
  <si>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</si>
  <si>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</si>
  <si>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</si>
  <si>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</si>
  <si>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</si>
  <si>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</si>
  <si>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</si>
  <si>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</si>
  <si>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</si>
  <si>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</si>
  <si>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</si>
  <si>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</si>
  <si>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</si>
  <si>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</si>
  <si>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</si>
  <si>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</si>
  <si>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</si>
  <si>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</si>
  <si>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</si>
  <si>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</si>
  <si>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</si>
  <si>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</si>
  <si>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</si>
  <si>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</si>
  <si>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</si>
  <si>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</si>
  <si>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</si>
  <si>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</si>
  <si>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</si>
  <si>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</si>
  <si>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</si>
  <si>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</si>
  <si>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</si>
  <si>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</si>
  <si>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</si>
  <si>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</si>
  <si>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</si>
  <si>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</si>
  <si>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</si>
  <si>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</si>
  <si>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</si>
  <si>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</si>
  <si>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</si>
  <si>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</si>
  <si>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</si>
  <si>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</si>
  <si>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</si>
  <si>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</si>
  <si>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</si>
  <si>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</si>
  <si>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</si>
  <si>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</si>
  <si>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</si>
  <si>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</si>
  <si>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</si>
  <si>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</si>
  <si>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</si>
  <si>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</si>
  <si>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</si>
  <si>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</si>
  <si>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</si>
  <si>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</si>
  <si>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</si>
  <si>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</si>
  <si>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</si>
  <si>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</si>
  <si>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</si>
  <si>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</si>
  <si>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</si>
  <si>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</si>
  <si>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</si>
  <si>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</si>
  <si>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</si>
  <si>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</si>
  <si>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</si>
  <si>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</si>
  <si>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</si>
  <si>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</si>
  <si>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</si>
  <si>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</si>
  <si>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</si>
  <si>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</si>
  <si>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</si>
  <si>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</si>
  <si>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</si>
  <si>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</si>
  <si>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</si>
  <si>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</si>
  <si>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</si>
  <si>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</si>
  <si>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</si>
  <si>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</si>
  <si>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</si>
  <si>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</si>
  <si>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</si>
  <si>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</si>
  <si>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</si>
  <si>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</si>
  <si>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</si>
  <si>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</si>
  <si>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</si>
  <si>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</si>
  <si>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</si>
  <si>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</si>
  <si>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</si>
  <si>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</si>
  <si>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</si>
  <si>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</si>
  <si>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</si>
  <si>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</si>
  <si>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</si>
  <si>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</si>
  <si>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</si>
  <si>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</si>
  <si>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</si>
  <si>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</si>
  <si>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</si>
  <si>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</si>
  <si>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</si>
  <si>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</si>
  <si>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</si>
  <si>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</si>
  <si>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</si>
  <si>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</si>
  <si>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</si>
  <si>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</si>
  <si>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</si>
  <si>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</si>
  <si>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</si>
  <si>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</si>
  <si>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</si>
  <si>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</si>
  <si>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</si>
  <si>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</si>
  <si>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</si>
  <si>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</si>
  <si>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</si>
  <si>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</si>
  <si>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</si>
  <si>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</si>
  <si>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</si>
  <si>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</si>
  <si>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</si>
  <si>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</si>
  <si>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</si>
  <si>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</si>
  <si>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</si>
  <si>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</si>
  <si>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</si>
  <si>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</si>
  <si>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</si>
  <si>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</si>
  <si>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</si>
  <si>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</si>
  <si>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</si>
  <si>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</si>
  <si>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</si>
  <si>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</si>
  <si>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</si>
  <si>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</si>
  <si>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</si>
  <si>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</si>
  <si>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</si>
  <si>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</si>
  <si>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</si>
  <si>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</si>
  <si>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</si>
  <si>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</si>
  <si>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</si>
  <si>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</si>
  <si>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</si>
  <si>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</si>
  <si>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</si>
  <si>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</si>
  <si>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</si>
  <si>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</si>
  <si>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</si>
  <si>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</si>
  <si>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</si>
  <si>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</si>
  <si>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</si>
  <si>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</si>
  <si>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</si>
  <si>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</si>
  <si>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</si>
  <si>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</si>
  <si>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</si>
  <si>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</si>
  <si>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</si>
  <si>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</si>
  <si>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</si>
  <si>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</si>
  <si>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</si>
  <si>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</si>
  <si>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</si>
  <si>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</si>
  <si>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</si>
  <si>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</si>
  <si>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</si>
  <si>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</si>
  <si>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</si>
  <si>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</si>
  <si>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</si>
  <si>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</si>
  <si>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</si>
  <si>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</si>
  <si>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</si>
  <si>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</si>
  <si>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</si>
  <si>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</si>
  <si>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</si>
  <si>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</si>
  <si>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</si>
  <si>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</si>
  <si>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</si>
  <si>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</si>
  <si>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</si>
  <si>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</si>
  <si>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</si>
  <si>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</si>
  <si>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</si>
  <si>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</si>
  <si>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</si>
  <si>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</si>
  <si>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</si>
  <si>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</si>
  <si>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</si>
  <si>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</si>
  <si>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</si>
  <si>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</si>
  <si>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</si>
  <si>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</si>
  <si>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</si>
  <si>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</si>
  <si>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</si>
  <si>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</si>
  <si>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</si>
  <si>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</si>
  <si>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</si>
  <si>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</si>
  <si>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</si>
  <si>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</si>
  <si>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</si>
  <si>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</si>
  <si>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</si>
  <si>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</si>
  <si>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</si>
  <si>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</si>
  <si>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</si>
  <si>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</si>
  <si>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</si>
  <si>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</si>
  <si>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</si>
  <si>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 xml:space="preserve">Asset Plays </t>
  </si>
  <si>
    <t>Consumer Discretionary, 12.4y</t>
  </si>
  <si>
    <t>Worst Case Asset Value</t>
  </si>
  <si>
    <t>= Net Non-operating Assets per share</t>
  </si>
  <si>
    <t>4. Is the upside very attractive? (20%+ is attractive)</t>
  </si>
  <si>
    <t>0088.HK</t>
  </si>
  <si>
    <t>TAI CHEUNG HOLD</t>
  </si>
  <si>
    <t>Quarter</t>
  </si>
  <si>
    <t>物業租金毛收入</t>
  </si>
  <si>
    <t>物業管理收入</t>
  </si>
  <si>
    <t>出售樓宇之毛收入</t>
  </si>
  <si>
    <t>It's likely a value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</si>
</sst>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C27" sqref="C27:D2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0088.HK : TAI CHEUNG HOLD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6" t="s">
        <v>339</v>
      </c>
      <c r="D3" s="397"/>
      <c r="E3" s="15"/>
      <c r="G3" s="7" t="s">
        <v>2</v>
      </c>
      <c r="I3" s="408" t="s">
        <v>3</v>
      </c>
      <c r="J3" s="409"/>
    </row>
    <row r="4" spans="1:12" ht="15.75" customHeight="1" x14ac:dyDescent="0.3">
      <c r="B4" s="5" t="s">
        <v>4</v>
      </c>
      <c r="C4" s="398" t="s">
        <v>340</v>
      </c>
      <c r="D4" s="399"/>
      <c r="E4" s="6"/>
      <c r="G4" s="5" t="s">
        <v>5</v>
      </c>
      <c r="I4" s="32">
        <v>4.0599999999999996</v>
      </c>
      <c r="J4" s="33" t="s">
        <v>6</v>
      </c>
      <c r="K4" s="152"/>
    </row>
    <row r="5" spans="1:12" ht="15.75" customHeight="1" x14ac:dyDescent="0.3">
      <c r="B5" s="5" t="s">
        <v>7</v>
      </c>
      <c r="C5" s="400">
        <v>45014</v>
      </c>
      <c r="D5" s="399"/>
      <c r="E5" s="122" t="str">
        <f ca="1">IF(C5+30&gt;=TODAY(),"Patience Premium","")</f>
        <v>Patience Premium</v>
      </c>
      <c r="G5" s="5" t="s">
        <v>8</v>
      </c>
      <c r="I5" s="392">
        <v>617531008</v>
      </c>
      <c r="J5" s="393"/>
      <c r="K5" s="151"/>
      <c r="L5" s="85"/>
    </row>
    <row r="6" spans="1:12" ht="15.75" customHeight="1" x14ac:dyDescent="0.3">
      <c r="B6" s="12" t="s">
        <v>248</v>
      </c>
      <c r="C6" s="269">
        <v>8</v>
      </c>
      <c r="D6" s="270">
        <f>EOMONTH(EDATE(Asset_Model!D9,C6),0)</f>
        <v>45077</v>
      </c>
      <c r="E6" s="352">
        <f>IF(Asset_Model!E9="FY",Asset_Model!D9,Data!C3)</f>
        <v>44651</v>
      </c>
      <c r="G6" s="134" t="s">
        <v>9</v>
      </c>
      <c r="H6" s="133"/>
      <c r="I6" s="410">
        <f>I4*I5/1000000</f>
        <v>2507.1758924799997</v>
      </c>
      <c r="J6" s="411"/>
      <c r="K6" s="151"/>
    </row>
    <row r="7" spans="1:12" ht="15.75" customHeight="1" x14ac:dyDescent="0.3">
      <c r="B7" s="139" t="s">
        <v>10</v>
      </c>
      <c r="C7" s="145">
        <f>(Data!C39*Exchange_Rate)/I4</f>
        <v>5.9110332244542436E-2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864.54341119999992</v>
      </c>
      <c r="J9" s="48">
        <f>IF(I9="NNI","NNI",1/I9)</f>
        <v>1.1566799157164175E-3</v>
      </c>
    </row>
    <row r="10" spans="1:12" ht="15.75" customHeight="1" x14ac:dyDescent="0.3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0.37553373762113745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267</v>
      </c>
      <c r="C11" s="422">
        <f ca="1">C12-D10</f>
        <v>6.7000000000000004E-2</v>
      </c>
      <c r="D11" s="423"/>
      <c r="E11" s="13"/>
      <c r="G11" s="5" t="s">
        <v>15</v>
      </c>
      <c r="H11" s="6"/>
      <c r="I11" s="420" t="s">
        <v>6</v>
      </c>
      <c r="J11" s="421"/>
    </row>
    <row r="12" spans="1:12" ht="15.75" customHeight="1" thickTop="1" x14ac:dyDescent="0.3">
      <c r="B12" s="313" t="s">
        <v>145</v>
      </c>
      <c r="C12" s="424">
        <f ca="1">IF(C10="CN",8%,6%)*IF($C$5+30&gt;=TODAY(),1.2,1)</f>
        <v>9.6000000000000002E-2</v>
      </c>
      <c r="D12" s="425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3.14</v>
      </c>
      <c r="E14" s="127" t="s">
        <v>227</v>
      </c>
      <c r="F14" s="184">
        <f ca="1">MAX('FCFF Model'!C30,'FCFF Model'!E30)</f>
        <v>5.244451627487507</v>
      </c>
      <c r="G14" s="185" t="s">
        <v>24</v>
      </c>
      <c r="H14" s="193">
        <f ca="1">IF('FCFF Model'!C33&lt;0, "Error", 'FCFF Model'!C33)</f>
        <v>4.1064014089356746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4.0599999999999996</v>
      </c>
      <c r="C16" s="431">
        <v>0.1</v>
      </c>
      <c r="D16" s="159">
        <f ca="1">IF(B17='FCFF Model'!G29,"Net Asset", H14/B16-1-C16)</f>
        <v>-8.8571081542937163E-2</v>
      </c>
      <c r="E16" s="428">
        <f>'FCFF Model'!D11*Exchange_Rate</f>
        <v>0</v>
      </c>
      <c r="F16" s="161">
        <f>E16/B16</f>
        <v>0</v>
      </c>
      <c r="G16" s="415" t="s">
        <v>25</v>
      </c>
      <c r="H16" s="412">
        <f>('FCFF Model'!G19)*Exchange_Rate</f>
        <v>2.6204870347174536</v>
      </c>
      <c r="I16" s="415" t="s">
        <v>26</v>
      </c>
      <c r="J16" s="206">
        <f>B16-$H$16</f>
        <v>1.439512965282546</v>
      </c>
    </row>
    <row r="17" spans="1:10" ht="15.75" customHeight="1" x14ac:dyDescent="0.3">
      <c r="B17" s="289">
        <f ca="1">MAX(H14/(1+C16),'FCFF Model'!G29)</f>
        <v>3.7330921899415221</v>
      </c>
      <c r="C17" s="432"/>
      <c r="D17" s="288">
        <f ca="1">IF(B17='FCFF Model'!G29,"Net Asset",H14/B17-1-C16)</f>
        <v>8.3266726846886741E-17</v>
      </c>
      <c r="E17" s="429"/>
      <c r="F17" s="162">
        <f ca="1">E16/B17</f>
        <v>0</v>
      </c>
      <c r="G17" s="416"/>
      <c r="H17" s="413"/>
      <c r="I17" s="416"/>
      <c r="J17" s="205">
        <f ca="1">B17-$H$16</f>
        <v>1.1126051552240686</v>
      </c>
    </row>
    <row r="18" spans="1:10" ht="15.75" customHeight="1" x14ac:dyDescent="0.3">
      <c r="B18" s="355">
        <f ca="1">C35</f>
        <v>3.7330921899415221</v>
      </c>
      <c r="C18" s="433"/>
      <c r="D18" s="160">
        <f ca="1">IF(B17='FCFF Model'!G29,"NA: "&amp;ROUND('FCFF Model'!G29/B18-1,2)*100&amp;"%", H14/B18-1-C16)</f>
        <v>8.3266726846886741E-17</v>
      </c>
      <c r="E18" s="430"/>
      <c r="F18" s="163">
        <f ca="1">E16/B18</f>
        <v>0</v>
      </c>
      <c r="G18" s="417"/>
      <c r="H18" s="414"/>
      <c r="I18" s="417"/>
      <c r="J18" s="207">
        <f ca="1">B18-$H$16</f>
        <v>1.1126051552240686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246</v>
      </c>
      <c r="D20" s="290" t="s">
        <v>334</v>
      </c>
      <c r="E20" s="266" t="s">
        <v>256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3" t="s">
        <v>345</v>
      </c>
      <c r="D21" s="404"/>
      <c r="E21" s="404"/>
      <c r="F21" s="404"/>
      <c r="G21" s="404"/>
      <c r="H21" s="404"/>
      <c r="I21" s="404"/>
      <c r="J21" s="405"/>
    </row>
    <row r="22" spans="1:10" ht="52.5" customHeight="1" x14ac:dyDescent="0.3">
      <c r="A22" s="6"/>
      <c r="B22" s="24" t="s">
        <v>29</v>
      </c>
      <c r="C22" s="419"/>
      <c r="D22" s="384"/>
      <c r="E22" s="384"/>
      <c r="F22" s="384"/>
      <c r="G22" s="419"/>
      <c r="H22" s="419"/>
      <c r="I22" s="384"/>
      <c r="J22" s="384"/>
    </row>
    <row r="23" spans="1:10" ht="52.5" customHeight="1" x14ac:dyDescent="0.3">
      <c r="A23" s="6"/>
      <c r="B23" s="25" t="s">
        <v>30</v>
      </c>
      <c r="C23" s="406"/>
      <c r="D23" s="407"/>
      <c r="E23" s="407"/>
      <c r="F23" s="407"/>
      <c r="G23" s="406"/>
      <c r="H23" s="406"/>
      <c r="I23" s="407"/>
      <c r="J23" s="40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 ca="1">IF(D17="Asset Play", 'FCFF Model'!G19, H14/(H25+C16+1))</f>
        <v>3.2851211271485399</v>
      </c>
    </row>
    <row r="26" spans="1:10" ht="15.75" customHeight="1" x14ac:dyDescent="0.3">
      <c r="B26" s="23" t="s">
        <v>33</v>
      </c>
      <c r="C26" s="401"/>
      <c r="D26" s="402"/>
      <c r="E26" s="437" t="str">
        <f>IF(C26="","","Action_Planning")</f>
        <v/>
      </c>
      <c r="F26" s="438"/>
      <c r="G26" s="438"/>
      <c r="H26" s="439"/>
      <c r="I26" s="418" t="s">
        <v>34</v>
      </c>
      <c r="J26" s="418"/>
    </row>
    <row r="27" spans="1:10" ht="15.75" customHeight="1" x14ac:dyDescent="0.3">
      <c r="B27" s="23" t="s">
        <v>35</v>
      </c>
      <c r="C27" s="427">
        <f ca="1">C31/D25</f>
        <v>0.1866546094970761</v>
      </c>
      <c r="D27" s="382"/>
      <c r="E27" s="426">
        <f>E31/D25</f>
        <v>0</v>
      </c>
      <c r="F27" s="382"/>
      <c r="G27" s="435">
        <f>G31/D25</f>
        <v>0</v>
      </c>
      <c r="H27" s="436"/>
      <c r="I27" s="434">
        <f ca="1">C27+E27+G27</f>
        <v>0.1866546094970761</v>
      </c>
      <c r="J27" s="434"/>
    </row>
    <row r="28" spans="1:10" ht="15.75" customHeight="1" x14ac:dyDescent="0.3">
      <c r="B28" s="23" t="s">
        <v>36</v>
      </c>
      <c r="C28" s="383">
        <v>30000</v>
      </c>
      <c r="D28" s="384"/>
      <c r="E28" s="383"/>
      <c r="F28" s="384"/>
      <c r="G28" s="392"/>
      <c r="H28" s="393"/>
      <c r="I28" s="372">
        <f>C28+E28+G28</f>
        <v>30000</v>
      </c>
      <c r="J28" s="372"/>
    </row>
    <row r="29" spans="1:10" ht="15.75" customHeight="1" x14ac:dyDescent="0.3">
      <c r="B29" s="23" t="s">
        <v>37</v>
      </c>
      <c r="C29" s="385">
        <f ca="1">B17</f>
        <v>3.7330921899415221</v>
      </c>
      <c r="D29" s="384"/>
      <c r="E29" s="385"/>
      <c r="F29" s="384"/>
      <c r="G29" s="386"/>
      <c r="H29" s="387"/>
      <c r="I29" s="394"/>
      <c r="J29" s="394"/>
    </row>
    <row r="30" spans="1:10" ht="15.75" customHeight="1" x14ac:dyDescent="0.3">
      <c r="B30" s="23" t="s">
        <v>38</v>
      </c>
      <c r="C30" s="370">
        <f ca="1">C29*$I$5/1000000</f>
        <v>2305.3001830115154</v>
      </c>
      <c r="D30" s="377"/>
      <c r="E30" s="370">
        <f>E29*$I$5/1000000</f>
        <v>0</v>
      </c>
      <c r="F30" s="377"/>
      <c r="G30" s="388">
        <f>G29*$I$5/1000000</f>
        <v>0</v>
      </c>
      <c r="H30" s="389"/>
      <c r="I30" s="395"/>
      <c r="J30" s="395"/>
    </row>
    <row r="31" spans="1:10" ht="15.75" customHeight="1" x14ac:dyDescent="0.3">
      <c r="B31" s="2" t="s">
        <v>39</v>
      </c>
      <c r="C31" s="378">
        <f ca="1">C28*C29</f>
        <v>111992.76569824567</v>
      </c>
      <c r="D31" s="379"/>
      <c r="E31" s="371">
        <f>E28*E29</f>
        <v>0</v>
      </c>
      <c r="F31" s="380"/>
      <c r="G31" s="390">
        <f>G28*G29</f>
        <v>0</v>
      </c>
      <c r="H31" s="391"/>
      <c r="I31" s="371">
        <f ca="1">C31+E31+G31</f>
        <v>111992.76569824567</v>
      </c>
      <c r="J31" s="371"/>
    </row>
    <row r="32" spans="1:10" ht="15.75" customHeight="1" x14ac:dyDescent="0.3">
      <c r="B32" s="1" t="s">
        <v>40</v>
      </c>
      <c r="C32" s="373"/>
      <c r="D32" s="374"/>
      <c r="E32" s="381">
        <f ca="1">IF(C31=0,"-",(C31+E31)/(C28+E28))</f>
        <v>3.7330921899415221</v>
      </c>
      <c r="F32" s="382"/>
      <c r="G32" s="117"/>
      <c r="H32" s="117"/>
      <c r="I32" s="381">
        <f ca="1">IF(I31=0,"",I31/I28)</f>
        <v>3.7330921899415221</v>
      </c>
      <c r="J32" s="381"/>
    </row>
    <row r="33" spans="2:11" ht="15.75" customHeight="1" x14ac:dyDescent="0.3">
      <c r="B33" s="1" t="s">
        <v>41</v>
      </c>
      <c r="C33" s="375"/>
      <c r="D33" s="376"/>
      <c r="E33" s="370">
        <f ca="1">IF(E32="-","-",E32*$I$5/1000000)</f>
        <v>2305.3001830115154</v>
      </c>
      <c r="F33" s="377"/>
      <c r="G33" s="118"/>
      <c r="H33" s="118"/>
      <c r="I33" s="370">
        <f ca="1">IF(I32="","",I32*$I$5/1000000)</f>
        <v>2305.3001830115154</v>
      </c>
      <c r="J33" s="370"/>
    </row>
    <row r="34" spans="2:11" ht="15.75" customHeight="1" x14ac:dyDescent="0.3"/>
    <row r="35" spans="2:11" ht="15.75" customHeight="1" x14ac:dyDescent="0.3">
      <c r="B35" s="146" t="s">
        <v>309</v>
      </c>
      <c r="C35" s="440">
        <f ca="1">C29</f>
        <v>3.7330921899415221</v>
      </c>
      <c r="D35" s="441"/>
      <c r="G35" s="443" t="s">
        <v>311</v>
      </c>
      <c r="H35" s="444"/>
      <c r="I35" s="440">
        <v>4.8499999999999996</v>
      </c>
      <c r="J35" s="441"/>
    </row>
    <row r="36" spans="2:11" ht="15.75" customHeight="1" x14ac:dyDescent="0.3">
      <c r="B36" s="146" t="s">
        <v>310</v>
      </c>
      <c r="C36" s="383">
        <f>C28</f>
        <v>30000</v>
      </c>
      <c r="D36" s="442"/>
      <c r="G36" s="445" t="s">
        <v>321</v>
      </c>
      <c r="H36" s="445"/>
      <c r="I36" s="446">
        <f>IF(C26="",0,I35/C29-1)</f>
        <v>0</v>
      </c>
      <c r="J36" s="447"/>
    </row>
    <row r="37" spans="2:11" ht="15.75" customHeight="1" x14ac:dyDescent="0.3"/>
    <row r="38" spans="2:11" ht="15.75" customHeight="1" x14ac:dyDescent="0.3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3">
      <c r="B42" s="3" t="s">
        <v>338</v>
      </c>
      <c r="E42" s="358">
        <f ca="1">IF(F42="Strongly disagree",0,IF(F42="disagree",1,IF(F42="So-so",2,IF(F42="agree",3,4))))/4</f>
        <v>0.75</v>
      </c>
      <c r="F42" s="102" t="str">
        <f ca="1">IF(F45&lt;D10,"Strongly Disagree",IF(F45&lt;10%,"Disagree",IF(F45&gt;=30%,"Strongly Agree",IF(F45&gt;=20%,"Agree","So-so"))))</f>
        <v>Agree</v>
      </c>
      <c r="G42" s="74" t="s">
        <v>326</v>
      </c>
      <c r="H42" s="74"/>
      <c r="I42" s="74"/>
      <c r="J42" s="74"/>
    </row>
    <row r="43" spans="2:11" ht="15.75" customHeight="1" x14ac:dyDescent="0.3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327</v>
      </c>
      <c r="F45" s="365">
        <f ca="1">I35/C29-1</f>
        <v>0.29919106018005248</v>
      </c>
    </row>
    <row r="46" spans="2:11" ht="15.75" customHeight="1" x14ac:dyDescent="0.3">
      <c r="B46" s="3" t="s">
        <v>328</v>
      </c>
      <c r="F46" s="365">
        <f ca="1">D14/C29-1</f>
        <v>-0.15887424145044027</v>
      </c>
    </row>
    <row r="47" spans="2:11" ht="15.75" customHeight="1" x14ac:dyDescent="0.3"/>
    <row r="48" spans="2:11" ht="15.75" customHeight="1" x14ac:dyDescent="0.3">
      <c r="B48" s="3" t="s">
        <v>330</v>
      </c>
      <c r="F48" s="214">
        <f ca="1">IF(F45&lt;=0,0,AVERAGE(F39:F41,1-F43,E42))</f>
        <v>0.59784353741496599</v>
      </c>
      <c r="G48" s="74"/>
    </row>
    <row r="49" spans="2:8" ht="15.75" customHeight="1" x14ac:dyDescent="0.3">
      <c r="B49" s="3" t="s">
        <v>329</v>
      </c>
      <c r="D49" s="367">
        <f ca="1">IF(OR(F42="Strongly Agree",F42="Agree"),2,4)</f>
        <v>2</v>
      </c>
      <c r="E49" s="363">
        <f ca="1">F45/ABS(F46)</f>
        <v>1.8831942638944594</v>
      </c>
      <c r="F49" s="360">
        <f ca="1">IF(F46&gt;=0,100,F45/ABS(F46))</f>
        <v>1.8831942638944594</v>
      </c>
      <c r="G49" s="74"/>
    </row>
    <row r="50" spans="2:8" ht="15.75" customHeight="1" x14ac:dyDescent="0.3">
      <c r="B50" s="368" t="str">
        <f ca="1">IF(D49=4,"⇒ Quarter Kelly %", "⇒ Half Kelly %")</f>
        <v>⇒ Half Kelly %</v>
      </c>
      <c r="C50" s="85" t="str">
        <f ca="1">" [W – (1 – W)/R] /"&amp;D49</f>
        <v xml:space="preserve"> [W – (1 – W)/R] /2</v>
      </c>
      <c r="E50" s="107">
        <f ca="1">MAX(F48-ABS((1-F48)/F49),0)/D49</f>
        <v>0.1921466817460955</v>
      </c>
      <c r="F50" s="359">
        <f ca="1">MIN(E50,H50)</f>
        <v>0.1921466817460955</v>
      </c>
      <c r="G50" s="362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1" sqref="C11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44651</v>
      </c>
      <c r="D3" s="6"/>
      <c r="E3" s="179">
        <v>1</v>
      </c>
      <c r="F3" s="177">
        <f t="array" ref="F3">AVERAGE(C19:INDEX(C19:M19,1,E3))</f>
        <v>2900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-55500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44651</v>
      </c>
      <c r="D6" s="279">
        <f>EOMONTH(EDATE(C6,-12),0)</f>
        <v>44286</v>
      </c>
      <c r="E6" s="279">
        <f t="shared" ref="E6:M6" si="0">EOMONTH(EDATE(D6,-12),0)</f>
        <v>43921</v>
      </c>
      <c r="F6" s="279">
        <f t="shared" si="0"/>
        <v>43555</v>
      </c>
      <c r="G6" s="279">
        <f t="shared" si="0"/>
        <v>43190</v>
      </c>
      <c r="H6" s="279">
        <f t="shared" si="0"/>
        <v>42825</v>
      </c>
      <c r="I6" s="279">
        <f t="shared" si="0"/>
        <v>42460</v>
      </c>
      <c r="J6" s="279">
        <f t="shared" si="0"/>
        <v>42094</v>
      </c>
      <c r="K6" s="279">
        <f t="shared" si="0"/>
        <v>41729</v>
      </c>
      <c r="L6" s="279">
        <f t="shared" si="0"/>
        <v>41364</v>
      </c>
      <c r="M6" s="279">
        <f t="shared" si="0"/>
        <v>40999</v>
      </c>
    </row>
    <row r="7" spans="1:14" ht="15.75" customHeight="1" x14ac:dyDescent="0.3">
      <c r="A7" s="9"/>
      <c r="B7" s="43" t="s">
        <v>45</v>
      </c>
      <c r="C7" s="35">
        <v>131900</v>
      </c>
      <c r="D7" s="35">
        <v>73800</v>
      </c>
      <c r="E7" s="35">
        <v>43000</v>
      </c>
      <c r="F7" s="35">
        <v>368400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0.7872628726287263</v>
      </c>
      <c r="D8" s="14">
        <f t="shared" si="1"/>
        <v>0.71627906976744193</v>
      </c>
      <c r="E8" s="14">
        <f t="shared" si="1"/>
        <v>-0.88327904451682948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128900</v>
      </c>
      <c r="D9" s="35">
        <v>70500</v>
      </c>
      <c r="E9" s="35">
        <v>43600</v>
      </c>
      <c r="F9" s="35">
        <v>306500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2.2744503411675512E-2</v>
      </c>
      <c r="D10" s="14">
        <f t="shared" si="2"/>
        <v>4.4715447154471545E-2</v>
      </c>
      <c r="E10" s="14">
        <f t="shared" si="2"/>
        <v>-1.3953488372093023E-2</v>
      </c>
      <c r="F10" s="14">
        <f t="shared" si="2"/>
        <v>0.16802388707926166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58500</v>
      </c>
      <c r="D11" s="35">
        <v>62500</v>
      </c>
      <c r="E11" s="35">
        <v>63300</v>
      </c>
      <c r="F11" s="35">
        <v>57200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0.44351781652767247</v>
      </c>
      <c r="D12" s="14">
        <f t="shared" si="3"/>
        <v>0.84688346883468835</v>
      </c>
      <c r="E12" s="14">
        <f t="shared" si="3"/>
        <v>1.4720930232558138</v>
      </c>
      <c r="F12" s="14">
        <f t="shared" si="3"/>
        <v>0.15526601520086861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-0.42077331311599697</v>
      </c>
      <c r="D13" s="14">
        <f t="shared" si="4"/>
        <v>-0.80216802168021684</v>
      </c>
      <c r="E13" s="14">
        <f t="shared" si="4"/>
        <v>-1.4860465116279069</v>
      </c>
      <c r="F13" s="14">
        <f t="shared" si="4"/>
        <v>1.2757871878393051E-2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-55500</v>
      </c>
      <c r="D14" s="27">
        <f t="shared" si="5"/>
        <v>-59200</v>
      </c>
      <c r="E14" s="27">
        <f t="shared" si="5"/>
        <v>-63900</v>
      </c>
      <c r="F14" s="27">
        <f t="shared" si="5"/>
        <v>4700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6.25E-2</v>
      </c>
      <c r="D15" s="14">
        <f t="shared" ref="D15:M15" si="6">IF(E14="","",IF(ABS(D14+E14)=ABS(D14)+ABS(E14),IF(D14&lt;0,-1,1)*(D14-E14)/E14,"Turn"))</f>
        <v>7.3552425665101728E-2</v>
      </c>
      <c r="E15" s="14" t="str">
        <f t="shared" si="6"/>
        <v>Turn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-55500</v>
      </c>
      <c r="D16" s="143">
        <f>IF(D14="","",D14*(1-Operation!$D$17))</f>
        <v>-59200</v>
      </c>
      <c r="E16" s="143">
        <f>IF(E14="","",E14*(1-Operation!$D$17))</f>
        <v>-63900</v>
      </c>
      <c r="F16" s="143">
        <f>IF(F14="","",F14*(1-Operation!$D$17))</f>
        <v>4700</v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-0.42077331311599697</v>
      </c>
      <c r="D17" s="129">
        <f t="shared" si="7"/>
        <v>-0.80216802168021684</v>
      </c>
      <c r="E17" s="129">
        <f t="shared" si="7"/>
        <v>-1.4860465116279069</v>
      </c>
      <c r="F17" s="129">
        <f t="shared" si="7"/>
        <v>1.2757871878393051E-2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249</v>
      </c>
      <c r="C18" s="144">
        <v>3100</v>
      </c>
      <c r="D18" s="144">
        <v>9900</v>
      </c>
      <c r="E18" s="144">
        <v>15600</v>
      </c>
      <c r="F18" s="144">
        <v>0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2900</v>
      </c>
      <c r="D19" s="35">
        <v>-28200</v>
      </c>
      <c r="E19" s="35">
        <v>124700</v>
      </c>
      <c r="F19" s="35">
        <v>231600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264</v>
      </c>
      <c r="C20" s="14" t="str">
        <f>IF(D19="","",IF(ABS(C19+D19)=ABS(C19)+ABS(D19),IF(C19&lt;0,-1,1)*(C19-D19)/D19,"Turn"))</f>
        <v>Turn</v>
      </c>
      <c r="D20" s="14" t="str">
        <f t="shared" ref="D20:M20" si="8">IF(E19="","",IF(ABS(D19+E19)=ABS(D19)+ABS(E19),IF(D19&lt;0,-1,1)*(D19-E19)/E19,"Turn"))</f>
        <v>Turn</v>
      </c>
      <c r="E20" s="14">
        <f t="shared" si="8"/>
        <v>-0.46157167530224524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6700700</v>
      </c>
      <c r="D21" s="35">
        <v>6885700</v>
      </c>
      <c r="E21" s="35">
        <v>7198800</v>
      </c>
      <c r="F21" s="35">
        <v>7412800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168400</v>
      </c>
      <c r="D22" s="35">
        <v>293000</v>
      </c>
      <c r="E22" s="35">
        <v>191500</v>
      </c>
      <c r="F22" s="35">
        <v>536800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13400</v>
      </c>
      <c r="D23" s="35">
        <v>154800</v>
      </c>
      <c r="E23" s="35">
        <v>11200</v>
      </c>
      <c r="F23" s="35">
        <v>289900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13400</v>
      </c>
      <c r="D24" s="140">
        <v>12900</v>
      </c>
      <c r="E24" s="140">
        <v>11200</v>
      </c>
      <c r="F24" s="140">
        <v>0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126000</v>
      </c>
      <c r="D25" s="35">
        <v>48300</v>
      </c>
      <c r="E25" s="35">
        <v>276700</v>
      </c>
      <c r="F25" s="35">
        <v>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34900</v>
      </c>
      <c r="D26" s="140">
        <v>48300</v>
      </c>
      <c r="E26" s="140">
        <v>57800</v>
      </c>
      <c r="F26" s="140">
        <v>0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139400</v>
      </c>
      <c r="D27" s="27">
        <f t="shared" si="9"/>
        <v>203100</v>
      </c>
      <c r="E27" s="27">
        <f t="shared" si="9"/>
        <v>287900</v>
      </c>
      <c r="F27" s="27">
        <f t="shared" si="9"/>
        <v>289900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6676300</v>
      </c>
      <c r="D28" s="35">
        <v>6822900</v>
      </c>
      <c r="E28" s="35">
        <v>6996300</v>
      </c>
      <c r="F28" s="35">
        <v>7086600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6676300</v>
      </c>
      <c r="D29" s="140">
        <v>6822900</v>
      </c>
      <c r="E29" s="140">
        <v>6996300</v>
      </c>
      <c r="F29" s="140">
        <v>7086600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55700</v>
      </c>
      <c r="D30" s="35">
        <v>69600</v>
      </c>
      <c r="E30" s="35">
        <v>79200</v>
      </c>
      <c r="F30" s="35">
        <v>11100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1652300</v>
      </c>
      <c r="D31" s="35">
        <v>1980400</v>
      </c>
      <c r="E31" s="35">
        <v>3542600</v>
      </c>
      <c r="F31" s="35">
        <v>3817900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-0.24955116696588869</v>
      </c>
      <c r="D32" s="14">
        <f t="shared" si="10"/>
        <v>-0.13793103448275862</v>
      </c>
      <c r="E32" s="14">
        <f t="shared" si="10"/>
        <v>0.85984848484848486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4008.9000000000005</v>
      </c>
      <c r="D33" s="248">
        <f>IF(E7="","",(D7-E7)*Asset_Model!$D$65)</f>
        <v>2125.2000000000003</v>
      </c>
      <c r="E33" s="248">
        <f>IF(F7="","",(E7-F7)*Asset_Model!$D$65)</f>
        <v>-22452.600000000002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-9891.0999999999985</v>
      </c>
      <c r="D34" s="143">
        <f>IF(E7="","",D30-E30+D33+IF($C$49="Yes",D51,0))</f>
        <v>-7474.7999999999993</v>
      </c>
      <c r="E34" s="143">
        <f t="shared" ref="E34:F34" si="11">IF(F7="","",E30-F30+E33+IF($C$49="Yes",E51,0))</f>
        <v>45647.399999999994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0.17821801801801798</v>
      </c>
      <c r="D35" s="239">
        <f t="shared" si="19"/>
        <v>0.1262635135135135</v>
      </c>
      <c r="E35" s="239">
        <f t="shared" si="19"/>
        <v>-0.71435680751173702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250</v>
      </c>
      <c r="C37" s="165">
        <v>148200</v>
      </c>
      <c r="D37" s="165">
        <v>148200</v>
      </c>
      <c r="E37" s="165">
        <v>216100</v>
      </c>
      <c r="F37" s="165">
        <v>216100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>
        <v>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0.23998794891284228</v>
      </c>
      <c r="D39" s="170">
        <f t="shared" si="20"/>
        <v>0.23998794891284228</v>
      </c>
      <c r="E39" s="170">
        <f t="shared" si="20"/>
        <v>0.34994194170084492</v>
      </c>
      <c r="F39" s="170">
        <f t="shared" si="20"/>
        <v>0.34994194170084492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>
        <f t="shared" si="21"/>
        <v>0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1.8872728906729776E-2</v>
      </c>
      <c r="D42" s="48">
        <f t="shared" ref="D42:M42" si="22">IF(D29="","",D25/D29)</f>
        <v>7.0791012619267468E-3</v>
      </c>
      <c r="E42" s="48">
        <f t="shared" si="22"/>
        <v>3.9549476151680175E-2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245</v>
      </c>
      <c r="C43" s="14">
        <f t="shared" ref="C43:M43" si="23">IF(C29="","",C27/C29)</f>
        <v>2.0879828647604213E-2</v>
      </c>
      <c r="D43" s="14">
        <f t="shared" si="23"/>
        <v>2.9767400958536694E-2</v>
      </c>
      <c r="E43" s="14">
        <f t="shared" si="23"/>
        <v>4.1150322313222701E-2</v>
      </c>
      <c r="F43" s="14">
        <f t="shared" si="23"/>
        <v>4.0908192927496964E-2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-0.39813486370157819</v>
      </c>
      <c r="D44" s="50">
        <f t="shared" si="24"/>
        <v>-0.29148202855736088</v>
      </c>
      <c r="E44" s="50">
        <f t="shared" si="24"/>
        <v>-0.22195206668982287</v>
      </c>
      <c r="F44" s="50">
        <f t="shared" si="24"/>
        <v>1.6212487064505003E-2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-5.5855855855855854E-2</v>
      </c>
      <c r="D45" s="14">
        <f t="shared" si="25"/>
        <v>-0.16722972972972974</v>
      </c>
      <c r="E45" s="14">
        <f t="shared" si="25"/>
        <v>-0.24413145539906103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39.790380047505941</v>
      </c>
      <c r="D46" s="51">
        <f t="shared" si="26"/>
        <v>23.500682593856656</v>
      </c>
      <c r="E46" s="51">
        <f t="shared" si="26"/>
        <v>37.591644908616189</v>
      </c>
      <c r="F46" s="51">
        <f t="shared" si="26"/>
        <v>13.809239940387481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33" sqref="D3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251</v>
      </c>
      <c r="C3" s="6"/>
      <c r="D3" s="273">
        <v>6569800</v>
      </c>
      <c r="E3" s="156" t="str">
        <f>IF((C46-I46)=D3,"", "Error!")</f>
        <v/>
      </c>
      <c r="F3" s="6"/>
      <c r="G3" s="6"/>
      <c r="H3" s="274" t="s">
        <v>252</v>
      </c>
      <c r="I3" s="275">
        <v>6569800</v>
      </c>
      <c r="K3" s="74"/>
    </row>
    <row r="4" spans="1:11" ht="15" customHeight="1" x14ac:dyDescent="0.3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10.638817994383206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4699992</v>
      </c>
      <c r="E6" s="14">
        <f>1-D6/D3</f>
        <v>0.28460653292337668</v>
      </c>
      <c r="F6" s="6"/>
      <c r="G6" s="6"/>
      <c r="H6" s="3" t="s">
        <v>312</v>
      </c>
      <c r="I6" s="69">
        <f>C26/I26</f>
        <v>23.636198766775479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7.6109408905989708</v>
      </c>
      <c r="E7" s="49" t="str">
        <f>Dashboard!J4</f>
        <v>HKD</v>
      </c>
      <c r="H7" s="3" t="s">
        <v>313</v>
      </c>
      <c r="I7" s="69">
        <f>C25/I26</f>
        <v>5.6590496916938697</v>
      </c>
      <c r="J7" s="6"/>
      <c r="K7" s="116"/>
    </row>
    <row r="8" spans="1:11" ht="15" customHeight="1" x14ac:dyDescent="0.3">
      <c r="D8" s="6"/>
      <c r="H8" s="3" t="s">
        <v>314</v>
      </c>
      <c r="I8" s="69">
        <f>C24/I26</f>
        <v>5.5992020311933262</v>
      </c>
      <c r="K8" s="74"/>
    </row>
    <row r="9" spans="1:11" ht="15" customHeight="1" x14ac:dyDescent="0.3">
      <c r="A9" s="4"/>
      <c r="B9" s="268" t="s">
        <v>247</v>
      </c>
      <c r="C9" s="255"/>
      <c r="D9" s="271">
        <v>44834</v>
      </c>
      <c r="E9" s="290" t="s">
        <v>341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1505300</v>
      </c>
      <c r="D11" s="65">
        <v>1</v>
      </c>
      <c r="E11" s="27">
        <f t="shared" ref="E11:E21" si="0">C11*D11</f>
        <v>1505300</v>
      </c>
      <c r="F11" s="6"/>
      <c r="G11" s="6"/>
      <c r="H11" s="5" t="s">
        <v>92</v>
      </c>
      <c r="I11" s="64">
        <v>112400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10500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38400</v>
      </c>
      <c r="D14" s="65">
        <v>0.85</v>
      </c>
      <c r="E14" s="27">
        <f t="shared" si="0"/>
        <v>32640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0.3</v>
      </c>
      <c r="E15" s="27">
        <f t="shared" si="0"/>
        <v>0</v>
      </c>
      <c r="G15" s="6"/>
      <c r="H15" s="5" t="s">
        <v>100</v>
      </c>
      <c r="I15" s="155">
        <f>I26-SUM(I11:I14)</f>
        <v>152800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16500</v>
      </c>
      <c r="D17" s="65">
        <v>0.4</v>
      </c>
      <c r="E17" s="27">
        <f t="shared" si="0"/>
        <v>6600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3061900</v>
      </c>
      <c r="D19" s="65">
        <v>0.7</v>
      </c>
      <c r="E19" s="27">
        <f t="shared" si="0"/>
        <v>2143330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1894400</v>
      </c>
      <c r="D20" s="65">
        <v>0.5</v>
      </c>
      <c r="E20" s="27">
        <f t="shared" si="0"/>
        <v>947200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1543700</v>
      </c>
      <c r="D24" s="68">
        <f>IF(E24=0,0,E24/C24)</f>
        <v>0.99626870505927323</v>
      </c>
      <c r="E24" s="27">
        <f>SUM(E11:E14)</f>
        <v>1537940</v>
      </c>
      <c r="F24" s="6"/>
      <c r="G24" s="6"/>
      <c r="H24" s="66" t="s">
        <v>315</v>
      </c>
      <c r="I24" s="69">
        <f>E24/($I$26-I15)</f>
        <v>12.513751017087063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1560200</v>
      </c>
      <c r="D25" s="68">
        <f>IF(E25=0,0,E25/C25)</f>
        <v>0.98996282527881041</v>
      </c>
      <c r="E25" s="27">
        <f>E24+SUM(E15:E17)</f>
        <v>1544540</v>
      </c>
      <c r="F25" s="6"/>
      <c r="G25" s="6"/>
      <c r="H25" s="66" t="s">
        <v>319</v>
      </c>
      <c r="I25" s="69">
        <f>E25/$I$26</f>
        <v>5.602248821182445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6516500</v>
      </c>
      <c r="D26" s="14">
        <f t="shared" ref="D26" si="2">E26/C26</f>
        <v>0.71128212997774876</v>
      </c>
      <c r="E26" s="27">
        <f>SUM(E11:E22)</f>
        <v>4635070</v>
      </c>
      <c r="H26" s="5" t="s">
        <v>58</v>
      </c>
      <c r="I26" s="64">
        <v>275700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113</v>
      </c>
      <c r="I29" s="64">
        <v>21600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108600+100</f>
        <v>108700</v>
      </c>
      <c r="D32" s="65">
        <v>0.8</v>
      </c>
      <c r="E32" s="27">
        <f t="shared" si="3"/>
        <v>86960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165800</v>
      </c>
      <c r="D33" s="65">
        <v>1.5</v>
      </c>
      <c r="E33" s="220">
        <f t="shared" si="3"/>
        <v>248700</v>
      </c>
      <c r="F33" s="204" t="s">
        <v>236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3">
      <c r="B36" s="5" t="s">
        <v>293</v>
      </c>
      <c r="C36" s="64">
        <f>37900+1400</f>
        <v>39300</v>
      </c>
      <c r="D36" s="65">
        <v>0.4</v>
      </c>
      <c r="E36" s="27">
        <f t="shared" si="3"/>
        <v>15720</v>
      </c>
      <c r="F36" s="6"/>
      <c r="G36" s="6"/>
    </row>
    <row r="37" spans="2:10" ht="14" x14ac:dyDescent="0.3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41000</v>
      </c>
      <c r="D39" s="65">
        <v>0.95</v>
      </c>
      <c r="E39" s="27">
        <f t="shared" si="3"/>
        <v>38950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354800</v>
      </c>
      <c r="D42" s="14">
        <f>E42/C42</f>
        <v>1.1001409244644871</v>
      </c>
      <c r="E42" s="27">
        <f>SUM(E28:E40)</f>
        <v>390330</v>
      </c>
      <c r="F42" s="6"/>
      <c r="G42" s="6"/>
      <c r="H42" s="5" t="s">
        <v>125</v>
      </c>
      <c r="I42" s="64">
        <v>25800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1543700</v>
      </c>
      <c r="D44" s="68">
        <f>IF(E44=0,0,E44/C44)</f>
        <v>0.99626870505927323</v>
      </c>
      <c r="E44" s="27">
        <f>E24+SUM(E28:E29)</f>
        <v>1537940</v>
      </c>
      <c r="F44" s="6"/>
      <c r="G44" s="6"/>
      <c r="H44" s="66" t="s">
        <v>316</v>
      </c>
      <c r="I44" s="69">
        <f>E44/(I46-I15-I32)</f>
        <v>11.828669876478642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1834700</v>
      </c>
      <c r="D45" s="68">
        <f>IF(E45=0,0,E45/C45)</f>
        <v>1.0247996947729874</v>
      </c>
      <c r="E45" s="27">
        <f>E44+(E25-E24)+SUM(E30:E33)</f>
        <v>1880200</v>
      </c>
      <c r="F45" s="6"/>
      <c r="G45" s="6"/>
      <c r="H45" s="66" t="s">
        <v>320</v>
      </c>
      <c r="I45" s="69">
        <f>E45/$I$46</f>
        <v>6.2361525704809289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6871300</v>
      </c>
      <c r="D46" s="14">
        <f>E46/C46</f>
        <v>0.7313608778542634</v>
      </c>
      <c r="E46" s="27">
        <f>E26+E42</f>
        <v>5025400</v>
      </c>
      <c r="F46" s="6"/>
      <c r="G46" s="6"/>
      <c r="H46" s="5" t="s">
        <v>317</v>
      </c>
      <c r="I46" s="155">
        <f>I26+I42</f>
        <v>301500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258</v>
      </c>
      <c r="C52" s="5"/>
      <c r="D52" s="448">
        <f>D53+D54+D55</f>
        <v>144500</v>
      </c>
      <c r="E52" s="449"/>
      <c r="F52" s="53"/>
      <c r="G52" s="53"/>
    </row>
    <row r="53" spans="2:9" ht="14.5" thickTop="1" x14ac:dyDescent="0.3">
      <c r="B53" s="58" t="s">
        <v>229</v>
      </c>
      <c r="C53" s="6"/>
      <c r="D53" s="451">
        <f>SUM(I11:I13)+SUM(I28:I30)</f>
        <v>144500</v>
      </c>
      <c r="E53" s="379"/>
      <c r="F53" s="5"/>
      <c r="G53" s="5"/>
      <c r="H53" s="3" t="s">
        <v>318</v>
      </c>
      <c r="I53" s="14">
        <f>D53/I3</f>
        <v>2.1994581265791957E-2</v>
      </c>
    </row>
    <row r="54" spans="2:9" ht="14" x14ac:dyDescent="0.3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50"/>
      <c r="E57" s="450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204200</v>
      </c>
      <c r="D58" s="129">
        <f>IF(E58=0,0,E58/C58)</f>
        <v>1.3777668952007835</v>
      </c>
      <c r="E58" s="221">
        <f>E14+E15+(E19*G19)+(E20*G20)+E29+E30+(E31*G31)+(E33*G33)+(E34*G34)+(E35*G35)</f>
        <v>281340</v>
      </c>
      <c r="H58" s="6"/>
    </row>
    <row r="59" spans="2:9" ht="14" x14ac:dyDescent="0.3">
      <c r="B59" s="53" t="s">
        <v>91</v>
      </c>
      <c r="C59" s="213">
        <f>C11+C12+C28</f>
        <v>1505300</v>
      </c>
      <c r="D59" s="214">
        <f>IF(E59=0,0,E59/C59)</f>
        <v>1</v>
      </c>
      <c r="E59" s="215">
        <f>E11+E12+E28</f>
        <v>1505300</v>
      </c>
      <c r="F59" s="6"/>
      <c r="G59" s="6"/>
    </row>
    <row r="60" spans="2:9" ht="14" x14ac:dyDescent="0.3">
      <c r="B60" s="53" t="s">
        <v>135</v>
      </c>
      <c r="C60" s="6"/>
      <c r="D60" s="454">
        <f>((Dashboard!I6*Data!C4)+D52+E50-C58-C59)</f>
        <v>942175.89247999946</v>
      </c>
      <c r="E60" s="45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257</v>
      </c>
    </row>
    <row r="63" spans="2:9" ht="15" customHeight="1" x14ac:dyDescent="0.3">
      <c r="B63" s="3" t="s">
        <v>260</v>
      </c>
      <c r="D63" s="446">
        <f>((C26-C11-C12-C14-C15-C16*G16-C19*G19-C20*G20)-I26)/Data!C7</f>
        <v>35.611068991660346</v>
      </c>
      <c r="E63" s="447"/>
    </row>
    <row r="64" spans="2:9" ht="15" customHeight="1" x14ac:dyDescent="0.3">
      <c r="B64" s="3" t="s">
        <v>259</v>
      </c>
      <c r="D64" s="452">
        <v>6.9000000000000006E-2</v>
      </c>
      <c r="E64" s="453"/>
      <c r="F64" s="266" t="s">
        <v>244</v>
      </c>
    </row>
    <row r="65" spans="2:5" ht="15" customHeight="1" x14ac:dyDescent="0.3">
      <c r="B65" s="291" t="s">
        <v>261</v>
      </c>
      <c r="D65" s="452">
        <f>D64</f>
        <v>6.9000000000000006E-2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1000HKD)</v>
      </c>
      <c r="C3" s="277">
        <f>Dashboard!E6</f>
        <v>44651</v>
      </c>
      <c r="D3" s="28" t="s">
        <v>243</v>
      </c>
      <c r="E3" s="277">
        <f>EOMONTH(EDATE(C3,12),0)</f>
        <v>45016</v>
      </c>
      <c r="F3" s="28" t="s">
        <v>243</v>
      </c>
      <c r="G3" s="277">
        <f>IF(G8="","",EOMONTH(EDATE(E3,12),0))</f>
        <v>45382</v>
      </c>
      <c r="H3" s="28"/>
      <c r="I3" s="277" t="str">
        <f>IF(I15="","",EOMONTH(EDATE(G3,12),0))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344</v>
      </c>
      <c r="C4" s="293">
        <f>12600*2</f>
        <v>25200</v>
      </c>
      <c r="D4" s="260">
        <f>C4/$C$7</f>
        <v>0.1910538286580743</v>
      </c>
      <c r="E4" s="293">
        <f>C4*2</f>
        <v>50400</v>
      </c>
      <c r="F4" s="260">
        <f>E4/E$7</f>
        <v>0.1910538286580743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342</v>
      </c>
      <c r="C5" s="293">
        <f>400*2</f>
        <v>800</v>
      </c>
      <c r="D5" s="260"/>
      <c r="E5" s="293">
        <f>C5</f>
        <v>800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343</v>
      </c>
      <c r="C6" s="293">
        <f>4800*2</f>
        <v>9600</v>
      </c>
      <c r="D6" s="260">
        <f>C6/$C$7</f>
        <v>7.2782410917361637E-2</v>
      </c>
      <c r="E6" s="293">
        <f>C6</f>
        <v>9600</v>
      </c>
      <c r="F6" s="260">
        <f>E6/E$7</f>
        <v>3.6391205458680818E-2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5" t="s">
        <v>138</v>
      </c>
      <c r="C7" s="180">
        <f>Data!C7</f>
        <v>131900</v>
      </c>
      <c r="D7" s="259"/>
      <c r="E7" s="337">
        <f>C7*2</f>
        <v>263800</v>
      </c>
      <c r="F7" s="259"/>
      <c r="G7" s="337">
        <f>E7*(1+G8)</f>
        <v>1055200</v>
      </c>
      <c r="H7" s="259"/>
      <c r="I7" s="228"/>
      <c r="J7" s="287"/>
      <c r="K7" s="6"/>
      <c r="L7" s="74" t="s">
        <v>262</v>
      </c>
      <c r="M7" s="57"/>
    </row>
    <row r="8" spans="1:13" ht="15.75" customHeight="1" x14ac:dyDescent="0.3">
      <c r="B8" s="17" t="s">
        <v>137</v>
      </c>
      <c r="C8" s="187"/>
      <c r="D8" s="261"/>
      <c r="E8" s="18">
        <f>E7/C7-1</f>
        <v>1</v>
      </c>
      <c r="F8" s="261"/>
      <c r="G8" s="73">
        <v>3</v>
      </c>
      <c r="H8" s="261"/>
      <c r="I8" s="73"/>
      <c r="J8" s="327"/>
      <c r="K8" s="6"/>
      <c r="L8" s="74"/>
      <c r="M8" s="57"/>
    </row>
    <row r="9" spans="1:13" ht="15.75" customHeight="1" x14ac:dyDescent="0.3">
      <c r="B9" s="8" t="s">
        <v>139</v>
      </c>
      <c r="C9" s="181">
        <f>Data!C9</f>
        <v>128900</v>
      </c>
      <c r="D9" s="262"/>
      <c r="E9" s="227">
        <f>E7*(1-E10)</f>
        <v>226868</v>
      </c>
      <c r="F9" s="262"/>
      <c r="G9" s="281">
        <f>IF(G7="","",G7*(1-G10))</f>
        <v>907472</v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2.2744503411675512E-2</v>
      </c>
      <c r="D10" s="186"/>
      <c r="E10" s="73">
        <v>0.14000000000000001</v>
      </c>
      <c r="F10" s="186"/>
      <c r="G10" s="73">
        <f>E10</f>
        <v>0.14000000000000001</v>
      </c>
      <c r="H10" s="186"/>
      <c r="I10" s="73"/>
      <c r="J10" s="329"/>
      <c r="K10" s="6"/>
      <c r="L10" s="74"/>
    </row>
    <row r="11" spans="1:13" ht="15.75" customHeight="1" x14ac:dyDescent="0.3">
      <c r="B11" s="5" t="s">
        <v>140</v>
      </c>
      <c r="C11" s="27">
        <f>C7-C9</f>
        <v>3000</v>
      </c>
      <c r="D11" s="27"/>
      <c r="E11" s="27">
        <f>E7-E9</f>
        <v>36932</v>
      </c>
      <c r="F11" s="27"/>
      <c r="G11" s="27">
        <f>IF(G8="","",G7-G9)</f>
        <v>147728</v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0.44351781652767247</v>
      </c>
      <c r="D12" s="189"/>
      <c r="E12" s="226">
        <f>E13/E7</f>
        <v>0.23062926459438968</v>
      </c>
      <c r="F12" s="189"/>
      <c r="G12" s="65">
        <f>G13/G7</f>
        <v>5.9963608794541316E-2</v>
      </c>
      <c r="H12" s="189"/>
      <c r="I12" s="65"/>
      <c r="J12" s="330"/>
      <c r="K12" s="6"/>
      <c r="L12" s="74"/>
    </row>
    <row r="13" spans="1:13" ht="15.75" customHeight="1" x14ac:dyDescent="0.3">
      <c r="B13" s="8" t="s">
        <v>141</v>
      </c>
      <c r="C13" s="183">
        <f>Data!C11</f>
        <v>58500</v>
      </c>
      <c r="D13" s="263"/>
      <c r="E13" s="76">
        <f>C13*1.04</f>
        <v>60840</v>
      </c>
      <c r="F13" s="263"/>
      <c r="G13" s="76">
        <f>E13*1.04</f>
        <v>63273.599999999999</v>
      </c>
      <c r="H13" s="263"/>
      <c r="I13" s="76"/>
      <c r="J13" s="331"/>
      <c r="K13" s="6"/>
      <c r="L13" s="74"/>
    </row>
    <row r="14" spans="1:13" ht="15.75" customHeight="1" x14ac:dyDescent="0.3">
      <c r="B14" s="17" t="s">
        <v>51</v>
      </c>
      <c r="C14" s="18">
        <f>C16/C7</f>
        <v>-0.42077331311599697</v>
      </c>
      <c r="D14" s="18"/>
      <c r="E14" s="18">
        <f>E16/E7</f>
        <v>-9.0629264594389691E-2</v>
      </c>
      <c r="F14" s="18"/>
      <c r="G14" s="18">
        <f>IF(G8="","",G16/G7)</f>
        <v>8.0036391205458676E-2</v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142</v>
      </c>
      <c r="C15" s="188"/>
      <c r="D15" s="264"/>
      <c r="E15" s="14">
        <f>IF(ABS(C16+E16)=ABS(C16)+ABS(E16),IF(E16&lt;0,-1,1)*(E16-C16)/C16,"Turn")</f>
        <v>0.56922522522522523</v>
      </c>
      <c r="F15" s="264"/>
      <c r="G15" s="14" t="str">
        <f>IF(G8="","",IF(ABS(E16+G16)=ABS(E16)+ABS(G16),IF(G16&lt;0,-1,1)*(G16-E16)/E16,"Turn"))</f>
        <v>Turn</v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 x14ac:dyDescent="0.3">
      <c r="B16" s="134" t="s">
        <v>239</v>
      </c>
      <c r="C16" s="319">
        <f>C11-C13</f>
        <v>-55500</v>
      </c>
      <c r="D16" s="320"/>
      <c r="E16" s="319">
        <f>E11-E13</f>
        <v>-23908</v>
      </c>
      <c r="F16" s="320"/>
      <c r="G16" s="319">
        <f>IF(G8="","",G11-G13)</f>
        <v>84454.399999999994</v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 x14ac:dyDescent="0.3">
      <c r="B17" s="315" t="s">
        <v>143</v>
      </c>
      <c r="C17" s="316">
        <v>0.16500000000000001</v>
      </c>
      <c r="D17" s="317"/>
      <c r="E17" s="318">
        <f>IF(E16="","",C17)</f>
        <v>0.16500000000000001</v>
      </c>
      <c r="F17" s="318"/>
      <c r="G17" s="318">
        <f>IF(G16="","",E17)</f>
        <v>0.16500000000000001</v>
      </c>
      <c r="H17" s="318"/>
      <c r="I17" s="318" t="str">
        <f>IF(I16="","",G17)</f>
        <v/>
      </c>
      <c r="J17" s="334"/>
    </row>
    <row r="18" spans="2:10" ht="15.75" customHeight="1" x14ac:dyDescent="0.3">
      <c r="B18" s="324" t="s">
        <v>296</v>
      </c>
      <c r="C18" s="264">
        <f>C19/C9</f>
        <v>-0.43056633048875098</v>
      </c>
      <c r="D18" s="326"/>
      <c r="E18" s="325">
        <f>E19/E9</f>
        <v>-0.10538286580742987</v>
      </c>
      <c r="F18" s="325"/>
      <c r="G18" s="325">
        <f>IF(G9="","",G19/G9)</f>
        <v>7.7709751926230225E-2</v>
      </c>
      <c r="H18" s="325"/>
      <c r="I18" s="325" t="str">
        <f>IF(I9="","",I19/I9)</f>
        <v/>
      </c>
      <c r="J18" s="335"/>
    </row>
    <row r="19" spans="2:10" ht="15.75" customHeight="1" x14ac:dyDescent="0.3">
      <c r="B19" s="321" t="s">
        <v>80</v>
      </c>
      <c r="C19" s="322">
        <f>IF(C16&lt;=0,C16,C16*(1-C17))</f>
        <v>-55500</v>
      </c>
      <c r="D19" s="322"/>
      <c r="E19" s="323">
        <f>IF(E16="","",IF(E16&lt;=0,E16,E16*(1-E17)))</f>
        <v>-23908</v>
      </c>
      <c r="F19" s="322"/>
      <c r="G19" s="323">
        <f>IF(G16="","",IF(G16&lt;=0,G16,G16*(1-G17)))</f>
        <v>70519.423999999999</v>
      </c>
      <c r="H19" s="322"/>
      <c r="I19" s="323" t="str">
        <f>IF(I16="","",IF(I16&lt;=0,I16,I16*(1-I17)))</f>
        <v/>
      </c>
      <c r="J19" s="336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7">
        <f>Operation!C3</f>
        <v>44651</v>
      </c>
      <c r="D3" s="277">
        <f>Operation!E3</f>
        <v>45016</v>
      </c>
      <c r="E3" s="277">
        <f>Operation!G3</f>
        <v>45382</v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3">
      <c r="B4" s="5" t="s">
        <v>80</v>
      </c>
      <c r="C4" s="182">
        <f>Operation!C19</f>
        <v>-55500</v>
      </c>
      <c r="D4" s="45">
        <f>Operation!E19</f>
        <v>-23908</v>
      </c>
      <c r="E4" s="45">
        <f>Operation!G19</f>
        <v>70519.423999999999</v>
      </c>
      <c r="F4" s="201" t="str">
        <f>Operation!I19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3">
      <c r="B5" s="17" t="s">
        <v>268</v>
      </c>
      <c r="C5" s="257"/>
      <c r="D5" s="258">
        <f>D4/C4-1</f>
        <v>-0.56922522522522523</v>
      </c>
      <c r="E5" s="258">
        <f>IF(E4="","",E4/D4-1)</f>
        <v>-3.9496161954157603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0.15</v>
      </c>
      <c r="D6" s="226">
        <v>0.15</v>
      </c>
      <c r="E6" s="65">
        <v>0.15</v>
      </c>
      <c r="F6" s="308"/>
      <c r="G6" s="199"/>
      <c r="H6" s="6"/>
      <c r="I6" s="77"/>
    </row>
    <row r="7" spans="1:10" ht="15" customHeight="1" thickBot="1" x14ac:dyDescent="0.35">
      <c r="B7" s="81" t="s">
        <v>263</v>
      </c>
      <c r="C7" s="309">
        <f>C4*C6</f>
        <v>-8325</v>
      </c>
      <c r="D7" s="309">
        <f>D4*D6</f>
        <v>-3586.2</v>
      </c>
      <c r="E7" s="310">
        <f>E4*E6</f>
        <v>10577.9136</v>
      </c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-47175</v>
      </c>
      <c r="D8" s="191">
        <f>D4-D7</f>
        <v>-20321.8</v>
      </c>
      <c r="E8" s="191">
        <f>IF(E4="","",E4-E7)</f>
        <v>59941.510399999999</v>
      </c>
      <c r="F8" s="191" t="str">
        <f>IF(F4="","",F4-F7)</f>
        <v/>
      </c>
      <c r="G8" s="229">
        <f>IF(F4="",IF(E4="",D8,E8),F8)</f>
        <v>59941.510399999999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-7.639292503349078E-2</v>
      </c>
      <c r="D9" s="305">
        <f>D8/(Common_Shares/Data!$C$4)</f>
        <v>-3.2908145075688247E-2</v>
      </c>
      <c r="E9" s="305">
        <f>IF(E8="","",E8/(Common_Shares/Data!$C$4))</f>
        <v>9.7066397676341454E-2</v>
      </c>
      <c r="F9" s="305" t="str">
        <f>IF(F8="","",F8/(Common_Shares/Data!$C$4))</f>
        <v/>
      </c>
      <c r="G9" s="306">
        <f>G8*Data!C$4/Dashboard!I5</f>
        <v>9.7066397676341454E-2</v>
      </c>
      <c r="H9" s="82"/>
      <c r="I9" s="56"/>
      <c r="J9" s="56"/>
    </row>
    <row r="10" spans="1:10" ht="15.75" customHeight="1" x14ac:dyDescent="0.3">
      <c r="B10" s="234" t="s">
        <v>240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254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269</v>
      </c>
      <c r="C12" s="236">
        <v>0</v>
      </c>
      <c r="D12" s="236">
        <v>0</v>
      </c>
      <c r="E12" s="345"/>
      <c r="F12" s="345"/>
      <c r="G12" s="230">
        <f>IF(G9&lt;0,G9,G9*D27)</f>
        <v>0.77653118141073163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>
        <f ca="1">IF(E4="","",D13)</f>
        <v>9.6000000000000002E-2</v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>
        <f ca="1">IF(E4="","",(1+D13)*(1+E13))</f>
        <v>1.2012160000000003</v>
      </c>
      <c r="F14" s="225" t="str">
        <f>IF(F4="","",(1+D13)*(1+E13)*(1+F13))</f>
        <v/>
      </c>
      <c r="G14" s="232">
        <f ca="1">IF(F4="",IF(E4="",D14,E14),F14)*(1+G13)</f>
        <v>1.3165327360000003</v>
      </c>
      <c r="H14" s="62"/>
      <c r="I14" s="57"/>
      <c r="J14" s="57"/>
    </row>
    <row r="15" spans="1:10" ht="15.75" customHeight="1" thickTop="1" x14ac:dyDescent="0.3">
      <c r="B15" s="8" t="s">
        <v>292</v>
      </c>
      <c r="C15" s="237">
        <f>C12</f>
        <v>0</v>
      </c>
      <c r="D15" s="195">
        <f ca="1">IF(D12="","",MAX(D9-D11+D12,D12)/D14)</f>
        <v>0</v>
      </c>
      <c r="E15" s="196">
        <f ca="1">IF(E9="","",E9/E14)</f>
        <v>8.0806780526018154E-2</v>
      </c>
      <c r="F15" s="196" t="str">
        <f>IF(F9="","",F9/F14)</f>
        <v/>
      </c>
      <c r="G15" s="233">
        <f ca="1">IF(G12=0,0,G12/G14)</f>
        <v>0.58983051478845372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1505300</v>
      </c>
      <c r="D18" s="219">
        <f>C18/(Dashboard!I5/Data!C4)</f>
        <v>2.4376103879790922</v>
      </c>
      <c r="E18" s="85" t="s">
        <v>231</v>
      </c>
      <c r="G18" s="137">
        <f>C18+C19+C20+C21</f>
        <v>1642140</v>
      </c>
    </row>
    <row r="19" spans="1:9" ht="15.75" customHeight="1" x14ac:dyDescent="0.3">
      <c r="B19" s="58" t="s">
        <v>237</v>
      </c>
      <c r="C19" s="84">
        <f>Asset_Model!E58</f>
        <v>281340</v>
      </c>
      <c r="D19" s="219">
        <f>C19/(Dashboard!I5/Data!C4)</f>
        <v>0.45558845848271962</v>
      </c>
      <c r="E19" s="85" t="s">
        <v>337</v>
      </c>
      <c r="G19" s="197">
        <f>(G18+MIN(D4,0))*Data!C$4/Dashboard!I5</f>
        <v>2.6204870347174536</v>
      </c>
    </row>
    <row r="20" spans="1:9" ht="15.75" customHeight="1" x14ac:dyDescent="0.3">
      <c r="B20" s="58" t="s">
        <v>218</v>
      </c>
      <c r="C20" s="84">
        <f>-Asset_Model!D52</f>
        <v>-144500</v>
      </c>
      <c r="D20" s="219">
        <f>C20/(Dashboard!I5/Data!C4)</f>
        <v>-0.23399634694943122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0</v>
      </c>
      <c r="D21" s="219">
        <f>C21/(Dashboard!I5/Data!C4)</f>
        <v>0</v>
      </c>
      <c r="E21" s="459"/>
      <c r="F21" s="148">
        <f>D18+(MIN(D4,0)*Data!C$4/Dashboard!I5)</f>
        <v>2.398894923184165</v>
      </c>
      <c r="G21" s="147">
        <f>SUM(D19:D21)</f>
        <v>0.22159211153328839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1000HKD)</v>
      </c>
      <c r="E23" s="460" t="s">
        <v>224</v>
      </c>
      <c r="F23" s="460"/>
      <c r="G23" s="460"/>
    </row>
    <row r="24" spans="1:9" ht="15.75" customHeight="1" x14ac:dyDescent="0.3">
      <c r="B24" s="127" t="str">
        <f>"Exit after Year "&amp;G4</f>
        <v>Exit after Year 2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(HKD)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290</v>
      </c>
      <c r="C25" s="14">
        <f>1/D25</f>
        <v>0.16666666666666666</v>
      </c>
      <c r="D25" s="297">
        <v>6</v>
      </c>
      <c r="E25" s="206">
        <f ca="1">IF(G9&lt;0,G9,G9*D25/G14)</f>
        <v>0.44237288609134029</v>
      </c>
      <c r="F25" s="206">
        <f ca="1">E25+$G$19</f>
        <v>3.0628599208087941</v>
      </c>
      <c r="G25" s="206">
        <f ca="1">ROUND(F25*Exchange_Rate,2)</f>
        <v>3.06</v>
      </c>
      <c r="I25" s="74"/>
    </row>
    <row r="26" spans="1:9" ht="15.75" customHeight="1" x14ac:dyDescent="0.3">
      <c r="B26" s="30" t="s">
        <v>291</v>
      </c>
      <c r="C26" s="349">
        <f>1/D26</f>
        <v>0.14285714285714285</v>
      </c>
      <c r="D26" s="350">
        <v>7</v>
      </c>
      <c r="E26" s="351">
        <f ca="1">IF(G9&lt;0,G9,G9*D26/G14)</f>
        <v>0.516101700439897</v>
      </c>
      <c r="F26" s="351">
        <f ca="1">E26+$G$19</f>
        <v>3.1365887351573507</v>
      </c>
      <c r="G26" s="351">
        <f ca="1">ROUND(F26*Exchange_Rate,2)</f>
        <v>3.14</v>
      </c>
      <c r="I26" s="74" t="s">
        <v>300</v>
      </c>
    </row>
    <row r="27" spans="1:9" ht="15.75" customHeight="1" x14ac:dyDescent="0.3">
      <c r="B27" s="301" t="s">
        <v>298</v>
      </c>
      <c r="C27" s="302">
        <f t="shared" ref="C27" si="0">1/D27</f>
        <v>0.125</v>
      </c>
      <c r="D27" s="314">
        <v>8</v>
      </c>
      <c r="E27" s="207">
        <f ca="1">IF(G9&lt;0,G9,G9*D27/G14)</f>
        <v>0.58983051478845372</v>
      </c>
      <c r="F27" s="207">
        <f ca="1">E27+$G$19</f>
        <v>3.2103175495059073</v>
      </c>
      <c r="G27" s="207">
        <f ca="1">ROUND(F27*Exchange_Rate,2)</f>
        <v>3.21</v>
      </c>
      <c r="I27" s="74" t="s">
        <v>299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336</v>
      </c>
      <c r="G29" s="369">
        <f>IF(Asset_Model!D7&lt;G19,Asset_Model!D7,G19)</f>
        <v>2.6204870347174536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MIN(Asset_Model!D7,G25)+(ABS(Asset_Model!D7-G25)*'Qualitative Analysis'!E8)</f>
        <v>5.244451627487507</v>
      </c>
      <c r="D30" s="23" t="str">
        <f ca="1">IF(C30&lt;E30,"&lt;",IF(C30=E30,"=","&gt;"))</f>
        <v>&gt;</v>
      </c>
      <c r="E30" s="251">
        <f ca="1">MAX(G26, G19*Exchange_Rate)</f>
        <v>3.14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 ca="1">MIN(C30,E30)+ABS(C30-E30)*'Qualitative Analysis'!$E$64</f>
        <v>4.1064014089356746</v>
      </c>
      <c r="D33" s="119" t="str">
        <f>Dashboard!J4</f>
        <v>HKD</v>
      </c>
      <c r="E33" s="120">
        <f ca="1">(C33-G19)/C9</f>
        <v>-19.450942264179488</v>
      </c>
      <c r="F33" s="158">
        <f ca="1">C33/(Data!C28*Exchange_Rate*Data!C4/Common_Shares)</f>
        <v>0.37982568208628548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MAX(Asset_Model!D7,G19*Exchange_Rate,(G12/(1+G34)^G4+G19)*Exchange_Rate)</f>
        <v>7.6109408905989708</v>
      </c>
      <c r="D34" s="208" t="str">
        <f>D33</f>
        <v>HKD</v>
      </c>
      <c r="E34" s="120">
        <f>(C34-G19)/C9</f>
        <v>-65.326126126126141</v>
      </c>
      <c r="F34" s="158">
        <f>C34/(Data!C28*Exchange_Rate*Data!C4/Common_Shares)</f>
        <v>0.70398154666506907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3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3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287</v>
      </c>
      <c r="D54" s="104">
        <f t="array" ref="D54">(1-INDEX(B68:E77,MATCH(E54,B68:B77,0),4))*4</f>
        <v>2.3129251700680271</v>
      </c>
      <c r="E54" s="31" t="s">
        <v>335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2023-03-29T11:31:06Z</dcterms:modified>
  <cp:category/>
  <cp:contentStatus/>
</cp:coreProperties>
</file>