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0C09BE06-92A6-4E77-B047-3502EC3867F3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I8" i="3"/>
  <c r="I7" i="3"/>
  <c r="I6" i="3"/>
  <c r="C12" i="1"/>
  <c r="E7" i="3"/>
  <c r="C36" i="1"/>
  <c r="C35" i="1"/>
  <c r="B18" i="1" s="1"/>
  <c r="E6" i="1"/>
  <c r="D11" i="4"/>
  <c r="C11" i="4"/>
  <c r="E7" i="4"/>
  <c r="E6" i="4"/>
  <c r="G10" i="7"/>
  <c r="G20" i="7"/>
  <c r="G19" i="7"/>
  <c r="G18" i="7"/>
  <c r="G16" i="7"/>
  <c r="G9" i="7"/>
  <c r="E9" i="7"/>
  <c r="E15" i="7" s="1"/>
  <c r="E19" i="7"/>
  <c r="E18" i="7"/>
  <c r="E16" i="7"/>
  <c r="D7" i="7"/>
  <c r="D6" i="7"/>
  <c r="D5" i="7"/>
  <c r="C9" i="7"/>
  <c r="D65" i="3" l="1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15" i="7" l="1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0" i="7" l="1"/>
  <c r="I4" i="3" l="1"/>
  <c r="D4" i="3"/>
  <c r="D6" i="1"/>
  <c r="E9" i="3"/>
  <c r="C3" i="7" l="1"/>
  <c r="C29" i="4"/>
  <c r="C3" i="4" l="1"/>
  <c r="E3" i="7"/>
  <c r="C15" i="4"/>
  <c r="B3" i="4"/>
  <c r="C17" i="4" s="1"/>
  <c r="C15" i="7"/>
  <c r="G35" i="3"/>
  <c r="G34" i="3"/>
  <c r="C58" i="3" s="1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16" i="7"/>
  <c r="C18" i="7"/>
  <c r="B3" i="7"/>
  <c r="C17" i="7"/>
  <c r="C22" i="7" s="1"/>
  <c r="C25" i="7" s="1"/>
  <c r="E10" i="7"/>
  <c r="C4" i="4" l="1"/>
  <c r="C7" i="4" s="1"/>
  <c r="C8" i="4" s="1"/>
  <c r="C9" i="4" s="1"/>
  <c r="C10" i="4" s="1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7" i="7" l="1"/>
  <c r="E22" i="7" s="1"/>
  <c r="E23" i="7" s="1"/>
  <c r="E25" i="7" s="1"/>
  <c r="E24" i="7" s="1"/>
  <c r="G15" i="7"/>
  <c r="D52" i="3"/>
  <c r="C20" i="4" s="1"/>
  <c r="D20" i="4" s="1"/>
  <c r="I53" i="3"/>
  <c r="C44" i="3"/>
  <c r="C25" i="3"/>
  <c r="E21" i="7" l="1"/>
  <c r="G17" i="7"/>
  <c r="G22" i="7" s="1"/>
  <c r="I21" i="7" s="1"/>
  <c r="I3" i="7" s="1"/>
  <c r="F3" i="4" s="1"/>
  <c r="G4" i="4" s="1"/>
  <c r="B24" i="4" s="1"/>
  <c r="G2" i="4" s="1"/>
  <c r="D4" i="4"/>
  <c r="E20" i="7"/>
  <c r="C45" i="3"/>
  <c r="E12" i="3"/>
  <c r="G21" i="7" l="1"/>
  <c r="G23" i="7"/>
  <c r="I23" i="7" s="1"/>
  <c r="I25" i="7" s="1"/>
  <c r="I24" i="7" s="1"/>
  <c r="D7" i="4"/>
  <c r="D8" i="4" s="1"/>
  <c r="D9" i="4" s="1"/>
  <c r="D10" i="4" s="1"/>
  <c r="D5" i="4"/>
  <c r="D53" i="5"/>
  <c r="F4" i="4" l="1"/>
  <c r="F8" i="4" s="1"/>
  <c r="F9" i="4" s="1"/>
  <c r="G25" i="7"/>
  <c r="E4" i="4" s="1"/>
  <c r="E35" i="3"/>
  <c r="G24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I35" i="1" s="1"/>
  <c r="E25" i="4"/>
  <c r="G25" i="4" s="1"/>
  <c r="C30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F14" i="1" s="1"/>
  <c r="E5" i="5"/>
  <c r="C33" i="4" l="1"/>
  <c r="H14" i="1" s="1"/>
  <c r="J25" i="1" s="1"/>
  <c r="D14" i="1"/>
  <c r="D30" i="4"/>
  <c r="F33" i="4" l="1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<sst xmlns="http://schemas.openxmlformats.org/spreadsheetml/2006/main" count="401" uniqueCount="338">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</sst>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6" zoomScaleNormal="100" workbookViewId="0">
      <selection activeCell="G27" sqref="G27:H2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9" t="s">
        <v>313</v>
      </c>
      <c r="D3" s="380"/>
      <c r="E3" s="15"/>
      <c r="G3" s="7" t="s">
        <v>2</v>
      </c>
      <c r="I3" s="389" t="s">
        <v>3</v>
      </c>
      <c r="J3" s="390"/>
    </row>
    <row r="4" spans="1:12" ht="15.75" customHeight="1" x14ac:dyDescent="0.3">
      <c r="B4" s="5" t="s">
        <v>4</v>
      </c>
      <c r="C4" s="381" t="s">
        <v>314</v>
      </c>
      <c r="D4" s="382"/>
      <c r="E4" s="6"/>
      <c r="G4" s="5" t="s">
        <v>5</v>
      </c>
      <c r="I4" s="32">
        <v>11.7</v>
      </c>
      <c r="J4" s="33" t="s">
        <v>6</v>
      </c>
      <c r="K4" s="152"/>
    </row>
    <row r="5" spans="1:12" ht="15.75" customHeight="1" x14ac:dyDescent="0.3">
      <c r="B5" s="5" t="s">
        <v>7</v>
      </c>
      <c r="C5" s="383">
        <v>44959</v>
      </c>
      <c r="D5" s="382"/>
      <c r="E5" s="122" t="str">
        <f ca="1">IF(C5+30&gt;=TODAY(),"Patience Premium","")</f>
        <v/>
      </c>
      <c r="G5" s="5" t="s">
        <v>8</v>
      </c>
      <c r="I5" s="391">
        <v>690959695</v>
      </c>
      <c r="J5" s="392"/>
      <c r="K5" s="151"/>
      <c r="L5" s="85"/>
    </row>
    <row r="6" spans="1:12" ht="15.75" customHeight="1" x14ac:dyDescent="0.3">
      <c r="B6" s="12" t="s">
        <v>252</v>
      </c>
      <c r="C6" s="270">
        <v>8</v>
      </c>
      <c r="D6" s="271">
        <f>EOMONTH(EDATE(Asset_Model!D9,C6),0)</f>
        <v>44985</v>
      </c>
      <c r="E6" s="353">
        <f>Data!C3</f>
        <v>44561</v>
      </c>
      <c r="G6" s="134" t="s">
        <v>9</v>
      </c>
      <c r="H6" s="133"/>
      <c r="I6" s="393">
        <f>I4*I5/1000000</f>
        <v>8084.2284314999988</v>
      </c>
      <c r="J6" s="394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24.500780194752053</v>
      </c>
      <c r="J9" s="48">
        <f>IF(I9="NNI","NNI",1/I9)</f>
        <v>4.0815026788991605E-2</v>
      </c>
    </row>
    <row r="10" spans="1:12" ht="15.75" customHeight="1" x14ac:dyDescent="0.3">
      <c r="B10" s="3" t="s">
        <v>269</v>
      </c>
      <c r="C10" s="300" t="s">
        <v>270</v>
      </c>
      <c r="D10" s="300">
        <v>2.8999999999999998E-2</v>
      </c>
      <c r="E10" s="5"/>
      <c r="G10" s="5" t="s">
        <v>14</v>
      </c>
      <c r="I10" s="138">
        <f>I4/(Data!C28*I12*Data!C4/Common_Shares)</f>
        <v>0.40336061303392751</v>
      </c>
      <c r="J10" s="130">
        <f>IF(Asset_Model!D60/'FCFF Model'!C4&lt;0,"Negative EV",Asset_Model!D60/'FCFF Model'!C4)</f>
        <v>6.3554913159171695</v>
      </c>
    </row>
    <row r="11" spans="1:12" ht="15.75" customHeight="1" thickBot="1" x14ac:dyDescent="0.35">
      <c r="B11" s="313" t="s">
        <v>273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 x14ac:dyDescent="0.3">
      <c r="B12" s="314" t="s">
        <v>146</v>
      </c>
      <c r="C12" s="357">
        <f ca="1">IF(C10="US",6%,8%)*IF($C$5+30&gt;=TODAY(),1.2,1)</f>
        <v>0.08</v>
      </c>
      <c r="D12" s="358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213</v>
      </c>
      <c r="D14" s="184">
        <f ca="1">MIN('FCFF Model'!C30,'FCFF Model'!E30)</f>
        <v>11.129157195902177</v>
      </c>
      <c r="E14" s="127" t="s">
        <v>230</v>
      </c>
      <c r="F14" s="184">
        <f ca="1">MAX('FCFF Model'!C30,'FCFF Model'!E30)</f>
        <v>13.228473799887135</v>
      </c>
      <c r="G14" s="185" t="s">
        <v>24</v>
      </c>
      <c r="H14" s="193">
        <f ca="1">IF('FCFF Model'!C33&lt;0, "Error", 'FCFF Model'!C33)</f>
        <v>12.473933713005875</v>
      </c>
      <c r="I14" s="133"/>
      <c r="J14" s="133"/>
    </row>
    <row r="15" spans="1:12" ht="15.75" customHeight="1" x14ac:dyDescent="0.3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11.7</v>
      </c>
      <c r="C16" s="367">
        <v>0.1</v>
      </c>
      <c r="D16" s="159">
        <f ca="1">H14/B16-1-C16</f>
        <v>-3.3851819401207101E-2</v>
      </c>
      <c r="E16" s="362">
        <f>'FCFF Model'!D11*Exchange_Rate</f>
        <v>0.47</v>
      </c>
      <c r="F16" s="161">
        <f>E16/B16</f>
        <v>4.0170940170940174E-2</v>
      </c>
      <c r="G16" s="370" t="s">
        <v>25</v>
      </c>
      <c r="H16" s="395">
        <f>('FCFF Model'!G19)*Exchange_Rate</f>
        <v>7.6180424677303353</v>
      </c>
      <c r="I16" s="370" t="s">
        <v>26</v>
      </c>
      <c r="J16" s="206">
        <f>B16-$H$16</f>
        <v>4.081957532269664</v>
      </c>
    </row>
    <row r="17" spans="1:10" ht="15.75" customHeight="1" x14ac:dyDescent="0.3">
      <c r="B17" s="290">
        <f ca="1">H14/(1+C16)</f>
        <v>11.33993973909625</v>
      </c>
      <c r="C17" s="368"/>
      <c r="D17" s="289">
        <f ca="1">H14/B17-1-C16</f>
        <v>0</v>
      </c>
      <c r="E17" s="363"/>
      <c r="F17" s="162">
        <f ca="1">E16/B17</f>
        <v>4.1446428359720469E-2</v>
      </c>
      <c r="G17" s="371"/>
      <c r="H17" s="396"/>
      <c r="I17" s="371"/>
      <c r="J17" s="205">
        <f ca="1">B17-$H$16</f>
        <v>3.7218972713659149</v>
      </c>
    </row>
    <row r="18" spans="1:10" ht="15.75" customHeight="1" x14ac:dyDescent="0.3">
      <c r="B18" s="354">
        <f>C35</f>
        <v>11</v>
      </c>
      <c r="C18" s="369"/>
      <c r="D18" s="160">
        <f ca="1">H14/B18-1-C16</f>
        <v>3.3993973909624969E-2</v>
      </c>
      <c r="E18" s="364"/>
      <c r="F18" s="163">
        <f>E16/B18</f>
        <v>4.2727272727272725E-2</v>
      </c>
      <c r="G18" s="372"/>
      <c r="H18" s="397"/>
      <c r="I18" s="372"/>
      <c r="J18" s="207">
        <f>B18-$H$16</f>
        <v>3.3819575322696647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250</v>
      </c>
      <c r="D20" s="291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6"/>
      <c r="D21" s="387"/>
      <c r="E21" s="387"/>
      <c r="F21" s="387"/>
      <c r="G21" s="387"/>
      <c r="H21" s="387"/>
      <c r="I21" s="387"/>
      <c r="J21" s="388"/>
    </row>
    <row r="22" spans="1:10" ht="52.5" customHeight="1" x14ac:dyDescent="0.3">
      <c r="A22" s="6"/>
      <c r="B22" s="24" t="s">
        <v>29</v>
      </c>
      <c r="C22" s="399"/>
      <c r="D22" s="400"/>
      <c r="E22" s="400"/>
      <c r="F22" s="400"/>
      <c r="G22" s="399"/>
      <c r="H22" s="399"/>
      <c r="I22" s="400"/>
      <c r="J22" s="400"/>
    </row>
    <row r="23" spans="1:10" ht="52.5" customHeight="1" x14ac:dyDescent="0.3">
      <c r="A23" s="6"/>
      <c r="B23" s="25" t="s">
        <v>30</v>
      </c>
      <c r="C23" s="365"/>
      <c r="D23" s="366"/>
      <c r="E23" s="366"/>
      <c r="F23" s="366"/>
      <c r="G23" s="365"/>
      <c r="H23" s="365"/>
      <c r="I23" s="366"/>
      <c r="J23" s="36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5">
        <v>0.15</v>
      </c>
      <c r="I25" s="30" t="s">
        <v>325</v>
      </c>
      <c r="J25" s="356">
        <f ca="1">H14/(H25+C16+1)</f>
        <v>9.9791469704047007</v>
      </c>
    </row>
    <row r="26" spans="1:10" ht="15.75" customHeight="1" x14ac:dyDescent="0.3">
      <c r="B26" s="23" t="s">
        <v>33</v>
      </c>
      <c r="C26" s="384">
        <v>44988</v>
      </c>
      <c r="D26" s="385"/>
      <c r="E26" s="376" t="str">
        <f>IF(C26="","","Action_Planning")</f>
        <v>Action_Planning</v>
      </c>
      <c r="F26" s="377"/>
      <c r="G26" s="377"/>
      <c r="H26" s="378"/>
      <c r="I26" s="398" t="s">
        <v>34</v>
      </c>
      <c r="J26" s="398"/>
    </row>
    <row r="27" spans="1:10" ht="15.75" customHeight="1" x14ac:dyDescent="0.3">
      <c r="B27" s="23" t="s">
        <v>35</v>
      </c>
      <c r="C27" s="361">
        <f>C31/D25</f>
        <v>5.9499999999999997E-2</v>
      </c>
      <c r="D27" s="360"/>
      <c r="E27" s="359">
        <f>E31/D25</f>
        <v>0.16500000000000001</v>
      </c>
      <c r="F27" s="360"/>
      <c r="G27" s="374">
        <f>G31/D25</f>
        <v>0</v>
      </c>
      <c r="H27" s="375"/>
      <c r="I27" s="373">
        <f>C27+E27+G27</f>
        <v>0.22450000000000001</v>
      </c>
      <c r="J27" s="373"/>
    </row>
    <row r="28" spans="1:10" ht="15.75" customHeight="1" x14ac:dyDescent="0.3">
      <c r="B28" s="23" t="s">
        <v>36</v>
      </c>
      <c r="C28" s="409">
        <v>3000</v>
      </c>
      <c r="D28" s="400"/>
      <c r="E28" s="409">
        <v>9000</v>
      </c>
      <c r="F28" s="400"/>
      <c r="G28" s="391"/>
      <c r="H28" s="392"/>
      <c r="I28" s="408">
        <f>C28+E28+G28</f>
        <v>12000</v>
      </c>
      <c r="J28" s="408"/>
    </row>
    <row r="29" spans="1:10" ht="15.75" customHeight="1" x14ac:dyDescent="0.3">
      <c r="B29" s="23" t="s">
        <v>37</v>
      </c>
      <c r="C29" s="410">
        <v>11.9</v>
      </c>
      <c r="D29" s="400"/>
      <c r="E29" s="410">
        <v>11</v>
      </c>
      <c r="F29" s="400"/>
      <c r="G29" s="420"/>
      <c r="H29" s="421"/>
      <c r="I29" s="405"/>
      <c r="J29" s="405"/>
    </row>
    <row r="30" spans="1:10" ht="15.75" customHeight="1" x14ac:dyDescent="0.3">
      <c r="B30" s="23" t="s">
        <v>38</v>
      </c>
      <c r="C30" s="411">
        <f>C29*$I$5/1000000</f>
        <v>8222.4203705</v>
      </c>
      <c r="D30" s="412"/>
      <c r="E30" s="411">
        <f>E29*$I$5/1000000</f>
        <v>7600.5566449999997</v>
      </c>
      <c r="F30" s="412"/>
      <c r="G30" s="428">
        <f>G29*$I$5/1000000</f>
        <v>0</v>
      </c>
      <c r="H30" s="429"/>
      <c r="I30" s="406"/>
      <c r="J30" s="406"/>
    </row>
    <row r="31" spans="1:10" ht="15.75" customHeight="1" x14ac:dyDescent="0.3">
      <c r="B31" s="2" t="s">
        <v>39</v>
      </c>
      <c r="C31" s="415">
        <f>C28*C29</f>
        <v>35700</v>
      </c>
      <c r="D31" s="416"/>
      <c r="E31" s="407">
        <f>E28*E29</f>
        <v>99000</v>
      </c>
      <c r="F31" s="417"/>
      <c r="G31" s="430">
        <f>G28*G29</f>
        <v>0</v>
      </c>
      <c r="H31" s="431"/>
      <c r="I31" s="407">
        <f>C31+E31+G31</f>
        <v>134700</v>
      </c>
      <c r="J31" s="407"/>
    </row>
    <row r="32" spans="1:10" ht="15.75" customHeight="1" x14ac:dyDescent="0.3">
      <c r="B32" s="1" t="s">
        <v>40</v>
      </c>
      <c r="C32" s="413"/>
      <c r="D32" s="414"/>
      <c r="E32" s="418">
        <f>IF(C31=0,"-",(C31+E31)/(C28+E28))</f>
        <v>11.225</v>
      </c>
      <c r="F32" s="360"/>
      <c r="G32" s="117"/>
      <c r="H32" s="117"/>
      <c r="I32" s="418">
        <f>IF(I31=0,"",I31/I28)</f>
        <v>11.225</v>
      </c>
      <c r="J32" s="418"/>
    </row>
    <row r="33" spans="2:10" ht="15.75" customHeight="1" x14ac:dyDescent="0.3">
      <c r="B33" s="1" t="s">
        <v>41</v>
      </c>
      <c r="C33" s="426"/>
      <c r="D33" s="427"/>
      <c r="E33" s="411">
        <f>IF(E32="-","-",E32*$I$5/1000000)</f>
        <v>7756.0225763750004</v>
      </c>
      <c r="F33" s="412"/>
      <c r="G33" s="118"/>
      <c r="H33" s="118"/>
      <c r="I33" s="411">
        <f>IF(I32="","",I32*$I$5/1000000)</f>
        <v>7756.0225763750004</v>
      </c>
      <c r="J33" s="411"/>
    </row>
    <row r="34" spans="2:10" ht="15.75" customHeight="1" x14ac:dyDescent="0.3"/>
    <row r="35" spans="2:10" ht="15.75" customHeight="1" x14ac:dyDescent="0.3">
      <c r="B35" s="146" t="s">
        <v>326</v>
      </c>
      <c r="C35" s="422">
        <f>E29</f>
        <v>11</v>
      </c>
      <c r="D35" s="423"/>
      <c r="G35" s="424" t="s">
        <v>327</v>
      </c>
      <c r="H35" s="425"/>
      <c r="I35" s="422">
        <f ca="1">'FCFF Model'!C34*0.9</f>
        <v>13.597424398249455</v>
      </c>
      <c r="J35" s="423"/>
    </row>
    <row r="36" spans="2:10" ht="15.75" customHeight="1" x14ac:dyDescent="0.3">
      <c r="B36" s="146" t="s">
        <v>328</v>
      </c>
      <c r="C36" s="409">
        <f>E28</f>
        <v>9000</v>
      </c>
      <c r="D36" s="419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I16">
    <cfRule type="cellIs" dxfId="17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6" priority="13" operator="lessThan">
      <formula>0</formula>
    </cfRule>
  </conditionalFormatting>
  <conditionalFormatting sqref="H16">
    <cfRule type="cellIs" dxfId="15" priority="8" operator="greaterThan">
      <formula>$B$16</formula>
    </cfRule>
  </conditionalFormatting>
  <conditionalFormatting sqref="H14">
    <cfRule type="cellIs" dxfId="14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3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" sqref="C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295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53" sqref="H5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137</v>
      </c>
    </row>
    <row r="3" spans="1:11" ht="15" customHeight="1" x14ac:dyDescent="0.3">
      <c r="B3" s="5" t="s">
        <v>255</v>
      </c>
      <c r="C3" s="6"/>
      <c r="D3" s="274">
        <v>20028097</v>
      </c>
      <c r="E3" s="156" t="str">
        <f>IF((C46-I46)=D3,"", "Error!")</f>
        <v/>
      </c>
      <c r="F3" s="6"/>
      <c r="G3" s="6"/>
      <c r="H3" s="275" t="s">
        <v>256</v>
      </c>
      <c r="I3" s="276">
        <v>19868320</v>
      </c>
      <c r="K3" s="74"/>
    </row>
    <row r="4" spans="1:11" ht="15" customHeight="1" x14ac:dyDescent="0.3">
      <c r="B4" s="5" t="s">
        <v>222</v>
      </c>
      <c r="C4" s="6"/>
      <c r="D4" s="277">
        <f>D3-I3</f>
        <v>159777</v>
      </c>
      <c r="E4" s="150"/>
      <c r="F4" s="6"/>
      <c r="G4" s="6"/>
      <c r="H4" s="60" t="s">
        <v>82</v>
      </c>
      <c r="I4" s="91">
        <f>(I3*Dashboard!I12*Data!C4)/Dashboard!I5</f>
        <v>28.754672875673304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10439191.350000001</v>
      </c>
      <c r="E6" s="14">
        <f>1-D6/D3</f>
        <v>0.47877267870232498</v>
      </c>
      <c r="F6" s="6"/>
      <c r="G6" s="6"/>
      <c r="H6" s="3" t="s">
        <v>330</v>
      </c>
      <c r="I6" s="69">
        <f>C26/I26</f>
        <v>7.9727705482465794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15.108249331388283</v>
      </c>
      <c r="E7" s="49" t="str">
        <f>Dashboard!J4</f>
        <v>HKD</v>
      </c>
      <c r="H7" s="3" t="s">
        <v>331</v>
      </c>
      <c r="I7" s="69">
        <f>C25/I26</f>
        <v>7.8025297553570647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7.547516445197342</v>
      </c>
      <c r="K8" s="74"/>
    </row>
    <row r="9" spans="1:11" ht="15" customHeight="1" x14ac:dyDescent="0.3">
      <c r="A9" s="4"/>
      <c r="B9" s="268" t="s">
        <v>251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5428874</v>
      </c>
      <c r="D11" s="65">
        <v>1</v>
      </c>
      <c r="E11" s="27">
        <f t="shared" ref="E11:E21" si="0">C11*D11</f>
        <v>5428874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31060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60163</v>
      </c>
      <c r="D14" s="65">
        <v>0.7</v>
      </c>
      <c r="E14" s="27">
        <f t="shared" si="0"/>
        <v>42114.1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696204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185462</v>
      </c>
      <c r="D17" s="65">
        <v>0.6</v>
      </c>
      <c r="E17" s="27">
        <f t="shared" si="0"/>
        <v>111277.2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122902</v>
      </c>
      <c r="D18" s="65">
        <v>0.6</v>
      </c>
      <c r="E18" s="27">
        <f t="shared" si="0"/>
        <v>73741.2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908</v>
      </c>
      <c r="D21" s="65">
        <v>0.95</v>
      </c>
      <c r="E21" s="27">
        <f t="shared" si="0"/>
        <v>862.59999999999991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5489037</v>
      </c>
      <c r="D24" s="68">
        <f>IF(E24=0,0,E24/C24)</f>
        <v>0.99671182759380195</v>
      </c>
      <c r="E24" s="27">
        <f>SUM(E11:E14)</f>
        <v>5470988.0999999996</v>
      </c>
      <c r="F24" s="6"/>
      <c r="G24" s="6"/>
      <c r="H24" s="66" t="s">
        <v>333</v>
      </c>
      <c r="I24" s="69">
        <f>E24/($I$26-I15)</f>
        <v>176.1425660012878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5674499</v>
      </c>
      <c r="D25" s="68">
        <f>IF(E25=0,0,E25/C25)</f>
        <v>0.98374593069802285</v>
      </c>
      <c r="E25" s="27">
        <f>E24+SUM(E15:E17)</f>
        <v>5582265.2999999998</v>
      </c>
      <c r="F25" s="6"/>
      <c r="G25" s="6"/>
      <c r="H25" s="66" t="s">
        <v>334</v>
      </c>
      <c r="I25" s="69">
        <f>E25/$I$26</f>
        <v>7.6757068959827519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5798309</v>
      </c>
      <c r="D26" s="14">
        <f t="shared" ref="D26" si="2">E26/C26</f>
        <v>0.97560669843569903</v>
      </c>
      <c r="E26" s="27">
        <f>SUM(E11:E22)</f>
        <v>5656869.0999999996</v>
      </c>
      <c r="H26" s="5" t="s">
        <v>58</v>
      </c>
      <c r="I26" s="64">
        <v>727264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26790</v>
      </c>
      <c r="D29" s="65">
        <v>0.6</v>
      </c>
      <c r="E29" s="27">
        <f t="shared" ref="E29:E40" si="3">C29*D29</f>
        <v>16074</v>
      </c>
      <c r="F29" s="6"/>
      <c r="G29" s="6"/>
      <c r="H29" s="5" t="s">
        <v>113</v>
      </c>
      <c r="I29" s="64">
        <v>33054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448023</v>
      </c>
      <c r="J32" s="6"/>
    </row>
    <row r="33" spans="2:10" ht="14" x14ac:dyDescent="0.3">
      <c r="B33" s="5" t="s">
        <v>119</v>
      </c>
      <c r="C33" s="64">
        <v>982</v>
      </c>
      <c r="D33" s="65">
        <v>0.6</v>
      </c>
      <c r="E33" s="220">
        <f t="shared" si="3"/>
        <v>589.19999999999993</v>
      </c>
      <c r="F33" s="204" t="s">
        <v>240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15186262</v>
      </c>
      <c r="D34" s="65">
        <v>0.4</v>
      </c>
      <c r="E34" s="220">
        <f t="shared" si="3"/>
        <v>6074504.8000000007</v>
      </c>
      <c r="F34" s="204" t="s">
        <v>239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v>204824</v>
      </c>
      <c r="D36" s="65">
        <v>0.2</v>
      </c>
      <c r="E36" s="27">
        <f t="shared" si="3"/>
        <v>40964.800000000003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19271</v>
      </c>
      <c r="D39" s="65">
        <v>0.95</v>
      </c>
      <c r="E39" s="27">
        <f t="shared" si="3"/>
        <v>18307.45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15438129</v>
      </c>
      <c r="D42" s="14">
        <f>E42/C42</f>
        <v>0.39839285252766066</v>
      </c>
      <c r="E42" s="27">
        <f>SUM(E28:E40)</f>
        <v>6150440.2500000009</v>
      </c>
      <c r="F42" s="6"/>
      <c r="G42" s="6"/>
      <c r="H42" s="5" t="s">
        <v>125</v>
      </c>
      <c r="I42" s="64">
        <v>481077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5515827</v>
      </c>
      <c r="D44" s="68">
        <f>IF(E44=0,0,E44/C44)</f>
        <v>0.99478502498356092</v>
      </c>
      <c r="E44" s="27">
        <f>E24+SUM(E28:E29)</f>
        <v>5487062.0999999996</v>
      </c>
      <c r="F44" s="6"/>
      <c r="G44" s="6"/>
      <c r="H44" s="66" t="s">
        <v>335</v>
      </c>
      <c r="I44" s="69">
        <f>E44/(I46-I15-I32)</f>
        <v>85.582900770502533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5702271</v>
      </c>
      <c r="D45" s="68">
        <f>IF(E45=0,0,E45/C45)</f>
        <v>0.98187695744379744</v>
      </c>
      <c r="E45" s="27">
        <f>E44+(E25-E24)+SUM(E30:E33)</f>
        <v>5598928.5</v>
      </c>
      <c r="F45" s="6"/>
      <c r="G45" s="6"/>
      <c r="H45" s="66" t="s">
        <v>336</v>
      </c>
      <c r="I45" s="69">
        <f>E45/$I$46</f>
        <v>4.633566600818809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21236438</v>
      </c>
      <c r="D46" s="14">
        <f>E46/C46</f>
        <v>0.55599292828674951</v>
      </c>
      <c r="E46" s="27">
        <f>E26+E42</f>
        <v>11807309.350000001</v>
      </c>
      <c r="F46" s="6"/>
      <c r="G46" s="6"/>
      <c r="H46" s="5" t="s">
        <v>129</v>
      </c>
      <c r="I46" s="155">
        <f>I26+I42</f>
        <v>1208341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130</v>
      </c>
      <c r="C48" s="21"/>
      <c r="D48" s="52"/>
    </row>
    <row r="49" spans="2:9" ht="14" x14ac:dyDescent="0.3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205</v>
      </c>
      <c r="C50" s="218">
        <f>D4</f>
        <v>159777</v>
      </c>
      <c r="D50" s="214">
        <f>IF(E50=0, 0,E50/C50)</f>
        <v>1</v>
      </c>
      <c r="E50" s="218">
        <f>MAX(C50,C50*Dashboard!I10)</f>
        <v>159777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262</v>
      </c>
      <c r="C52" s="5"/>
      <c r="D52" s="432">
        <f>D53+D54+D55</f>
        <v>64114</v>
      </c>
      <c r="E52" s="433"/>
      <c r="F52" s="53"/>
      <c r="G52" s="53"/>
    </row>
    <row r="53" spans="2:9" ht="14.5" thickTop="1" x14ac:dyDescent="0.3">
      <c r="B53" s="58" t="s">
        <v>232</v>
      </c>
      <c r="C53" s="6"/>
      <c r="D53" s="435">
        <f>SUM(I11:I13)+SUM(I28:I30)</f>
        <v>64114</v>
      </c>
      <c r="E53" s="416"/>
      <c r="F53" s="5"/>
      <c r="G53" s="5"/>
      <c r="H53" s="3" t="s">
        <v>337</v>
      </c>
      <c r="I53" s="14">
        <f>D53/I3</f>
        <v>3.226946213872134E-3</v>
      </c>
    </row>
    <row r="54" spans="2:9" ht="14" x14ac:dyDescent="0.3">
      <c r="B54" s="58" t="s">
        <v>132</v>
      </c>
      <c r="C54" s="6"/>
      <c r="D54" s="442">
        <v>0</v>
      </c>
      <c r="E54" s="400"/>
      <c r="F54" s="6" t="s">
        <v>133</v>
      </c>
      <c r="G54" s="6"/>
    </row>
    <row r="55" spans="2:9" ht="12.75" customHeight="1" x14ac:dyDescent="0.3">
      <c r="B55" s="58" t="s">
        <v>131</v>
      </c>
      <c r="C55" s="6"/>
      <c r="D55" s="442">
        <v>0</v>
      </c>
      <c r="E55" s="400"/>
      <c r="F55" s="5" t="s">
        <v>134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135</v>
      </c>
      <c r="C57" s="5"/>
      <c r="D57" s="434"/>
      <c r="E57" s="434"/>
      <c r="F57" s="19"/>
      <c r="G57" s="19"/>
    </row>
    <row r="58" spans="2:9" ht="15" customHeight="1" x14ac:dyDescent="0.3">
      <c r="B58" s="53" t="s">
        <v>233</v>
      </c>
      <c r="C58" s="213">
        <f>C14+C15+(C19*G19)+(C20*G20)+C29+C30+(C31*G31)+(C33*G33)+(C34*G34)+(C35*G35)</f>
        <v>87935</v>
      </c>
      <c r="D58" s="129">
        <f>IF(E58=0,0,E58/C58)</f>
        <v>0.66841758116790806</v>
      </c>
      <c r="E58" s="221">
        <f>E14+E15+(E19*G19)+(E20*G20)+E29+E30+(E31*G31)+(E33*G33)+(E34*G34)+(E35*G35)</f>
        <v>58777.299999999996</v>
      </c>
      <c r="H58" s="6"/>
    </row>
    <row r="59" spans="2:9" ht="14" x14ac:dyDescent="0.3">
      <c r="B59" s="53" t="s">
        <v>91</v>
      </c>
      <c r="C59" s="213">
        <f>C11+C12+C28</f>
        <v>5428874</v>
      </c>
      <c r="D59" s="214">
        <f>IF(E59=0,0,E59/C59)</f>
        <v>1</v>
      </c>
      <c r="E59" s="215">
        <f>E11+E12+E28</f>
        <v>5428874</v>
      </c>
      <c r="F59" s="6"/>
      <c r="G59" s="6"/>
    </row>
    <row r="60" spans="2:9" ht="14" x14ac:dyDescent="0.3">
      <c r="B60" s="53" t="s">
        <v>136</v>
      </c>
      <c r="C60" s="6"/>
      <c r="D60" s="440">
        <f>((Dashboard!I6*Data!C4)+D52+E50-C58-C59)</f>
        <v>2791310.431499999</v>
      </c>
      <c r="E60" s="44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261</v>
      </c>
    </row>
    <row r="63" spans="2:9" ht="15" customHeight="1" x14ac:dyDescent="0.3">
      <c r="B63" s="3" t="s">
        <v>264</v>
      </c>
      <c r="D63" s="438">
        <f>((C26-C11-C12-C14-C15-C16*G16-C19*G19-C20*G20)-I26)/Data!C7</f>
        <v>-0.33519135542591366</v>
      </c>
      <c r="E63" s="439"/>
    </row>
    <row r="64" spans="2:9" ht="15" customHeight="1" x14ac:dyDescent="0.3">
      <c r="B64" s="3" t="s">
        <v>263</v>
      </c>
      <c r="D64" s="436">
        <v>7.51E-2</v>
      </c>
      <c r="E64" s="437"/>
      <c r="F64" s="266" t="s">
        <v>248</v>
      </c>
    </row>
    <row r="65" spans="2:5" ht="15" customHeight="1" x14ac:dyDescent="0.3">
      <c r="B65" s="292" t="s">
        <v>265</v>
      </c>
      <c r="D65" s="436">
        <f>D64</f>
        <v>7.51E-2</v>
      </c>
      <c r="E65" s="43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G26" sqref="G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245</v>
      </c>
      <c r="C2" s="286" t="s">
        <v>259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247</v>
      </c>
      <c r="E3" s="278">
        <f>EOMONTH(EDATE(C3,12),0)</f>
        <v>44926</v>
      </c>
      <c r="F3" s="28" t="s">
        <v>247</v>
      </c>
      <c r="G3" s="278">
        <f>IF(G10="","",EOMONTH(EDATE(E3,12),0))</f>
        <v>45291</v>
      </c>
      <c r="H3" s="28"/>
      <c r="I3" s="278" t="str">
        <f>IF(I21="","",EOMONTH(EDATE(G3,12),0))</f>
        <v/>
      </c>
      <c r="J3" s="297"/>
      <c r="L3" s="72" t="s">
        <v>137</v>
      </c>
    </row>
    <row r="4" spans="1:13" ht="15.75" customHeight="1" x14ac:dyDescent="0.3">
      <c r="B4" s="293" t="s">
        <v>315</v>
      </c>
      <c r="C4" s="294">
        <v>814497</v>
      </c>
      <c r="D4" s="260">
        <f>C4/C9</f>
        <v>0.65315210200276663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316</v>
      </c>
      <c r="C5" s="294">
        <v>286243</v>
      </c>
      <c r="D5" s="260">
        <f>C5/C9</f>
        <v>0.22954070688238007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317</v>
      </c>
      <c r="C6" s="294">
        <v>132813</v>
      </c>
      <c r="D6" s="260">
        <f>C6/C9</f>
        <v>0.10650387923257353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293" t="s">
        <v>318</v>
      </c>
      <c r="C7" s="294">
        <v>13472</v>
      </c>
      <c r="D7" s="260">
        <f>C7/C9</f>
        <v>1.0803311882279827E-2</v>
      </c>
      <c r="E7" s="294"/>
      <c r="F7" s="260"/>
      <c r="G7" s="222"/>
      <c r="H7" s="260"/>
      <c r="I7" s="222"/>
      <c r="J7" s="287"/>
      <c r="K7" s="6"/>
      <c r="L7" s="74"/>
      <c r="M7" s="57"/>
    </row>
    <row r="8" spans="1:13" ht="15.75" customHeight="1" x14ac:dyDescent="0.3">
      <c r="B8" s="293" t="s">
        <v>319</v>
      </c>
      <c r="C8" s="294">
        <v>0</v>
      </c>
      <c r="D8" s="260">
        <f>C8/C9</f>
        <v>0</v>
      </c>
      <c r="E8" s="294"/>
      <c r="F8" s="260"/>
      <c r="G8" s="222"/>
      <c r="H8" s="260"/>
      <c r="I8" s="222"/>
      <c r="J8" s="287"/>
      <c r="K8" s="6"/>
      <c r="L8" s="74"/>
      <c r="M8" s="57"/>
    </row>
    <row r="9" spans="1:13" ht="15.75" customHeight="1" x14ac:dyDescent="0.3">
      <c r="B9" s="5" t="s">
        <v>139</v>
      </c>
      <c r="C9" s="180">
        <f>SUM(C4:C8)</f>
        <v>1247025</v>
      </c>
      <c r="D9" s="259"/>
      <c r="E9" s="338">
        <f>C9</f>
        <v>1247025</v>
      </c>
      <c r="F9" s="259"/>
      <c r="G9" s="338">
        <f>E9*1.1</f>
        <v>1371727.5</v>
      </c>
      <c r="H9" s="259"/>
      <c r="I9" s="228"/>
      <c r="J9" s="288"/>
      <c r="K9" s="6"/>
      <c r="L9" s="74" t="s">
        <v>266</v>
      </c>
      <c r="M9" s="57"/>
    </row>
    <row r="10" spans="1:13" ht="15.75" customHeight="1" x14ac:dyDescent="0.3">
      <c r="B10" s="17" t="s">
        <v>138</v>
      </c>
      <c r="C10" s="187"/>
      <c r="D10" s="261"/>
      <c r="E10" s="18">
        <f>E9/C9-1</f>
        <v>0</v>
      </c>
      <c r="F10" s="261"/>
      <c r="G10" s="18">
        <f>G9/E9-1</f>
        <v>0.10000000000000009</v>
      </c>
      <c r="H10" s="261"/>
      <c r="I10" s="73"/>
      <c r="J10" s="328"/>
      <c r="K10" s="6"/>
      <c r="L10" s="74"/>
      <c r="M10" s="57"/>
    </row>
    <row r="11" spans="1:13" ht="15.75" customHeight="1" x14ac:dyDescent="0.3">
      <c r="B11" s="293" t="s">
        <v>320</v>
      </c>
      <c r="C11" s="294">
        <v>814497</v>
      </c>
      <c r="D11" s="260"/>
      <c r="E11" s="294"/>
      <c r="F11" s="260"/>
      <c r="G11" s="222"/>
      <c r="H11" s="260"/>
      <c r="I11" s="222"/>
      <c r="J11" s="287"/>
      <c r="K11" s="6"/>
      <c r="L11" s="74"/>
      <c r="M11" s="57"/>
    </row>
    <row r="12" spans="1:13" ht="15.75" customHeight="1" x14ac:dyDescent="0.3">
      <c r="B12" s="293" t="s">
        <v>321</v>
      </c>
      <c r="C12" s="294">
        <v>286243</v>
      </c>
      <c r="D12" s="260"/>
      <c r="E12" s="294"/>
      <c r="F12" s="260"/>
      <c r="G12" s="222"/>
      <c r="H12" s="260"/>
      <c r="I12" s="222"/>
      <c r="J12" s="287"/>
      <c r="K12" s="6"/>
      <c r="L12" s="74"/>
      <c r="M12" s="57"/>
    </row>
    <row r="13" spans="1:13" ht="15.75" customHeight="1" x14ac:dyDescent="0.3">
      <c r="B13" s="293" t="s">
        <v>322</v>
      </c>
      <c r="C13" s="294">
        <v>132813</v>
      </c>
      <c r="D13" s="260"/>
      <c r="E13" s="294"/>
      <c r="F13" s="260"/>
      <c r="G13" s="222"/>
      <c r="H13" s="260"/>
      <c r="I13" s="222"/>
      <c r="J13" s="287"/>
      <c r="K13" s="6"/>
      <c r="L13" s="74"/>
      <c r="M13" s="57"/>
    </row>
    <row r="14" spans="1:13" ht="15.75" customHeight="1" x14ac:dyDescent="0.3">
      <c r="B14" s="293" t="s">
        <v>323</v>
      </c>
      <c r="C14" s="294">
        <v>13472</v>
      </c>
      <c r="D14" s="260"/>
      <c r="E14" s="294"/>
      <c r="F14" s="260"/>
      <c r="G14" s="222"/>
      <c r="H14" s="260"/>
      <c r="I14" s="222"/>
      <c r="J14" s="287"/>
      <c r="K14" s="6"/>
      <c r="L14" s="74"/>
      <c r="M14" s="57"/>
    </row>
    <row r="15" spans="1:13" ht="15.75" customHeight="1" x14ac:dyDescent="0.3">
      <c r="B15" s="8" t="s">
        <v>140</v>
      </c>
      <c r="C15" s="181">
        <f>Data!C9</f>
        <v>557767</v>
      </c>
      <c r="D15" s="262"/>
      <c r="E15" s="227">
        <f>E9*(1-E16)</f>
        <v>557767</v>
      </c>
      <c r="F15" s="262"/>
      <c r="G15" s="282">
        <f>IF(G9="","",G9*(1-G16))</f>
        <v>613543.70000000007</v>
      </c>
      <c r="H15" s="262"/>
      <c r="I15" s="282" t="str">
        <f>IF(I9="","",I9*(1-I16))</f>
        <v/>
      </c>
      <c r="J15" s="329"/>
      <c r="K15" s="6"/>
      <c r="L15" s="116"/>
      <c r="M15" s="1"/>
    </row>
    <row r="16" spans="1:13" ht="15.75" customHeight="1" x14ac:dyDescent="0.3">
      <c r="B16" s="17" t="s">
        <v>48</v>
      </c>
      <c r="C16" s="186">
        <f>(C9-C15)/C9</f>
        <v>0.55272187806980611</v>
      </c>
      <c r="D16" s="186"/>
      <c r="E16" s="73">
        <f>C16</f>
        <v>0.55272187806980611</v>
      </c>
      <c r="F16" s="186"/>
      <c r="G16" s="73">
        <f>E16</f>
        <v>0.55272187806980611</v>
      </c>
      <c r="H16" s="186"/>
      <c r="I16" s="73"/>
      <c r="J16" s="330"/>
      <c r="K16" s="6"/>
      <c r="L16" s="74"/>
    </row>
    <row r="17" spans="2:13" ht="15.75" customHeight="1" x14ac:dyDescent="0.3">
      <c r="B17" s="5" t="s">
        <v>141</v>
      </c>
      <c r="C17" s="27">
        <f>C9-C15</f>
        <v>689258</v>
      </c>
      <c r="D17" s="27"/>
      <c r="E17" s="27">
        <f>E9-E15</f>
        <v>689258</v>
      </c>
      <c r="F17" s="27"/>
      <c r="G17" s="27">
        <f>IF(G10="","",G9-G15)</f>
        <v>758183.79999999993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3">
      <c r="B18" s="17" t="s">
        <v>50</v>
      </c>
      <c r="C18" s="189">
        <f>C19/C9</f>
        <v>0.1309308153405104</v>
      </c>
      <c r="D18" s="189"/>
      <c r="E18" s="226">
        <f>C18</f>
        <v>0.1309308153405104</v>
      </c>
      <c r="F18" s="189"/>
      <c r="G18" s="65">
        <f>E18</f>
        <v>0.1309308153405104</v>
      </c>
      <c r="H18" s="189"/>
      <c r="I18" s="65"/>
      <c r="J18" s="331"/>
      <c r="K18" s="6"/>
      <c r="L18" s="74"/>
    </row>
    <row r="19" spans="2:13" ht="15.75" customHeight="1" x14ac:dyDescent="0.3">
      <c r="B19" s="8" t="s">
        <v>142</v>
      </c>
      <c r="C19" s="183">
        <v>163274</v>
      </c>
      <c r="D19" s="263"/>
      <c r="E19" s="76">
        <f>E9*E18</f>
        <v>163274</v>
      </c>
      <c r="F19" s="263"/>
      <c r="G19" s="76">
        <f>G9*G18</f>
        <v>179601.4</v>
      </c>
      <c r="H19" s="263"/>
      <c r="I19" s="76"/>
      <c r="J19" s="332"/>
      <c r="K19" s="6"/>
      <c r="L19" s="74"/>
    </row>
    <row r="20" spans="2:13" ht="15.75" customHeight="1" x14ac:dyDescent="0.3">
      <c r="B20" s="17" t="s">
        <v>51</v>
      </c>
      <c r="C20" s="18">
        <f>C22/C9</f>
        <v>0.42179106272929573</v>
      </c>
      <c r="D20" s="18"/>
      <c r="E20" s="18">
        <f>E22/E9</f>
        <v>0.42179106272929573</v>
      </c>
      <c r="F20" s="18"/>
      <c r="G20" s="18">
        <f>E20</f>
        <v>0.42179106272929573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3">
      <c r="B21" s="17" t="s">
        <v>143</v>
      </c>
      <c r="C21" s="188"/>
      <c r="D21" s="264"/>
      <c r="E21" s="14">
        <f>IF(ABS(C22+E22)=ABS(C22)+ABS(E22),IF(E22&lt;0,-1,1)*(E22-C22)/C22,"Turn")</f>
        <v>0</v>
      </c>
      <c r="F21" s="264"/>
      <c r="G21" s="14">
        <f>IF(G10="","",IF(ABS(E22+G22)=ABS(E22)+ABS(G22),IF(G22&lt;0,-1,1)*(G22-E22)/E22,"Turn"))</f>
        <v>9.9999999999999825E-2</v>
      </c>
      <c r="H21" s="264"/>
      <c r="I21" s="14" t="str">
        <f>IF(I10="","",IF(ABS(G22+I22)=ABS(G22)+ABS(I22),IF(I22&lt;0,-1,1)*(I22-G22)/G22,"Turn"))</f>
        <v/>
      </c>
      <c r="J21" s="333"/>
      <c r="K21" s="6"/>
      <c r="L21" s="77"/>
      <c r="M21" s="78"/>
    </row>
    <row r="22" spans="2:13" ht="15.75" customHeight="1" x14ac:dyDescent="0.3">
      <c r="B22" s="134" t="s">
        <v>243</v>
      </c>
      <c r="C22" s="320">
        <f>C17-C19</f>
        <v>525984</v>
      </c>
      <c r="D22" s="321"/>
      <c r="E22" s="320">
        <f>E17-E19</f>
        <v>525984</v>
      </c>
      <c r="F22" s="321"/>
      <c r="G22" s="320">
        <f>IF(G10="","",G17-G19)</f>
        <v>578582.39999999991</v>
      </c>
      <c r="H22" s="321"/>
      <c r="I22" s="320" t="str">
        <f>IF(I10="","",I17-I19)</f>
        <v/>
      </c>
      <c r="J22" s="334"/>
      <c r="K22" s="6"/>
      <c r="L22" s="79"/>
      <c r="M22" s="56"/>
    </row>
    <row r="23" spans="2:13" ht="15.75" customHeight="1" x14ac:dyDescent="0.3">
      <c r="B23" s="316" t="s">
        <v>144</v>
      </c>
      <c r="C23" s="317">
        <v>0.16500000000000001</v>
      </c>
      <c r="D23" s="318"/>
      <c r="E23" s="319">
        <f>IF(E22="","",C23)</f>
        <v>0.16500000000000001</v>
      </c>
      <c r="F23" s="319"/>
      <c r="G23" s="319">
        <f>IF(G22="","",E23)</f>
        <v>0.16500000000000001</v>
      </c>
      <c r="H23" s="319"/>
      <c r="I23" s="319" t="str">
        <f>IF(I22="","",G23)</f>
        <v/>
      </c>
      <c r="J23" s="335"/>
    </row>
    <row r="24" spans="2:13" ht="15.75" customHeight="1" x14ac:dyDescent="0.3">
      <c r="B24" s="325" t="s">
        <v>302</v>
      </c>
      <c r="C24" s="264">
        <f>C25/C15</f>
        <v>0.7874195497403037</v>
      </c>
      <c r="D24" s="327"/>
      <c r="E24" s="326">
        <f>E25/E15</f>
        <v>0.7874195497403037</v>
      </c>
      <c r="F24" s="326"/>
      <c r="G24" s="326">
        <f>IF(G15="","",G25/G15)</f>
        <v>0.78741954974030348</v>
      </c>
      <c r="H24" s="326"/>
      <c r="I24" s="326" t="str">
        <f>IF(I15="","",I25/I15)</f>
        <v/>
      </c>
      <c r="J24" s="336"/>
    </row>
    <row r="25" spans="2:13" ht="15.75" customHeight="1" x14ac:dyDescent="0.3">
      <c r="B25" s="322" t="s">
        <v>80</v>
      </c>
      <c r="C25" s="323">
        <f>IF(C22&lt;=0,C22,C22*(1-C23))</f>
        <v>439196.63999999996</v>
      </c>
      <c r="D25" s="323"/>
      <c r="E25" s="324">
        <f>IF(E22="","",IF(E22&lt;=0,E22,E22*(1-E23)))</f>
        <v>439196.63999999996</v>
      </c>
      <c r="F25" s="323"/>
      <c r="G25" s="324">
        <f>IF(G22="","",IF(G22&lt;=0,G22,G22*(1-G23)))</f>
        <v>483116.30399999989</v>
      </c>
      <c r="H25" s="323"/>
      <c r="I25" s="324" t="str">
        <f>IF(I22="","",IF(I22&lt;=0,I22,I22*(1-I23)))</f>
        <v/>
      </c>
      <c r="J25" s="337"/>
    </row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I17 I19:I22 G20:H22 H19 H10:I10 I15 G15:H18">
    <cfRule type="containsBlanks" dxfId="8" priority="10">
      <formula>LEN(TRIM(G10))=0</formula>
    </cfRule>
    <cfRule type="containsBlanks" priority="11">
      <formula>LEN(TRIM(G10))=0</formula>
    </cfRule>
  </conditionalFormatting>
  <conditionalFormatting sqref="I10 I18 I16">
    <cfRule type="containsBlanks" dxfId="7" priority="8">
      <formula>LEN(TRIM(I10))=0</formula>
    </cfRule>
    <cfRule type="containsBlanks" priority="9">
      <formula>LEN(TRIM(I10))=0</formula>
    </cfRule>
  </conditionalFormatting>
  <conditionalFormatting sqref="J10 J15:J22">
    <cfRule type="containsBlanks" dxfId="6" priority="6">
      <formula>LEN(TRIM(J10))=0</formula>
    </cfRule>
    <cfRule type="containsBlanks" priority="7">
      <formula>LEN(TRIM(J10))=0</formula>
    </cfRule>
  </conditionalFormatting>
  <conditionalFormatting sqref="E23 G25 I25 E25">
    <cfRule type="containsBlanks" dxfId="5" priority="4">
      <formula>LEN(TRIM(E23))=0</formula>
    </cfRule>
  </conditionalFormatting>
  <conditionalFormatting sqref="H10:J10 G25:J25 J24 G15:J18 G20:J23 H19:J19">
    <cfRule type="containsBlanks" dxfId="4" priority="3">
      <formula>LEN(TRIM(G10))=0</formula>
    </cfRule>
  </conditionalFormatting>
  <conditionalFormatting sqref="E24">
    <cfRule type="containsBlanks" dxfId="3" priority="2">
      <formula>LEN(TRIM(E24))=0</formula>
    </cfRule>
  </conditionalFormatting>
  <conditionalFormatting sqref="G24:I24">
    <cfRule type="containsBlanks" dxfId="2" priority="1">
      <formula>LEN(TRIM(G24))=0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C26" sqref="C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221</v>
      </c>
      <c r="C2" s="286" t="s">
        <v>259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257</v>
      </c>
      <c r="I3" s="72" t="s">
        <v>137</v>
      </c>
    </row>
    <row r="4" spans="1:10" ht="15.75" customHeight="1" x14ac:dyDescent="0.3">
      <c r="B4" s="5" t="s">
        <v>80</v>
      </c>
      <c r="C4" s="182">
        <f>Operation!C25</f>
        <v>439196.63999999996</v>
      </c>
      <c r="D4" s="45">
        <f>Operation!E25</f>
        <v>439196.63999999996</v>
      </c>
      <c r="E4" s="45">
        <f>Operation!G25</f>
        <v>483116.30399999989</v>
      </c>
      <c r="F4" s="201" t="str">
        <f>Operation!I25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0</v>
      </c>
      <c r="E5" s="258">
        <f>IF(E4="","",E4/D4-1)</f>
        <v>9.9999999999999867E-2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>
        <f>D6</f>
        <v>0.38619999999999999</v>
      </c>
      <c r="F6" s="309"/>
      <c r="G6" s="199"/>
      <c r="H6" s="6"/>
      <c r="I6" s="77"/>
    </row>
    <row r="7" spans="1:10" ht="15" customHeight="1" thickBot="1" x14ac:dyDescent="0.35">
      <c r="B7" s="81" t="s">
        <v>267</v>
      </c>
      <c r="C7" s="310">
        <f>C4*C6</f>
        <v>169617.74236799998</v>
      </c>
      <c r="D7" s="310">
        <f>D4*D6</f>
        <v>169617.74236799998</v>
      </c>
      <c r="E7" s="311">
        <f>D7</f>
        <v>169617.74236799998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145</v>
      </c>
      <c r="C8" s="192">
        <f>IF(C4="","",C4-C7)</f>
        <v>269578.89763199998</v>
      </c>
      <c r="D8" s="191">
        <f>D4-D7</f>
        <v>269578.89763199998</v>
      </c>
      <c r="E8" s="191">
        <f>IF(E4="","",E4-E7)</f>
        <v>313498.56163199991</v>
      </c>
      <c r="F8" s="191" t="str">
        <f>IF(F4="","",F4-F7)</f>
        <v/>
      </c>
      <c r="G8" s="229">
        <f>IF(F4="",IF(E4="",D8,E8),F8)</f>
        <v>313498.56163199991</v>
      </c>
      <c r="H8" s="82"/>
      <c r="I8" s="56"/>
      <c r="J8" s="56"/>
    </row>
    <row r="9" spans="1:10" ht="15.75" customHeight="1" x14ac:dyDescent="0.3">
      <c r="B9" s="203" t="s">
        <v>214</v>
      </c>
      <c r="C9" s="193">
        <f>C8/(Common_Shares/Data!$C$4)</f>
        <v>0.39015140764759076</v>
      </c>
      <c r="D9" s="306">
        <f>D8/(Common_Shares/Data!$C$4)</f>
        <v>0.39015140764759076</v>
      </c>
      <c r="E9" s="306">
        <f>IF(E8="","",E8/(Common_Shares/Data!$C$4))</f>
        <v>0.45371468683422977</v>
      </c>
      <c r="F9" s="306" t="str">
        <f>IF(F8="","",F8/(Common_Shares/Data!$C$4))</f>
        <v/>
      </c>
      <c r="G9" s="307">
        <f>G8*Data!C$4/Dashboard!I5</f>
        <v>0.45371468683422977</v>
      </c>
      <c r="H9" s="82"/>
      <c r="I9" s="56"/>
      <c r="J9" s="56"/>
    </row>
    <row r="10" spans="1:10" ht="15.75" customHeight="1" x14ac:dyDescent="0.3">
      <c r="B10" s="234" t="s">
        <v>244</v>
      </c>
      <c r="C10" s="312">
        <f>C11/C9</f>
        <v>1.1790294510881296</v>
      </c>
      <c r="D10" s="312">
        <f>D11/D9</f>
        <v>1.2046605261117844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258</v>
      </c>
      <c r="C11" s="284">
        <f>0.2+0.26</f>
        <v>0.46</v>
      </c>
      <c r="D11" s="285">
        <f>0.21+0.26</f>
        <v>0.47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0.26</v>
      </c>
      <c r="E12" s="346"/>
      <c r="F12" s="346"/>
      <c r="G12" s="230">
        <f>G9*D27</f>
        <v>4.5371468683422975</v>
      </c>
      <c r="H12" s="82"/>
      <c r="I12" s="56"/>
      <c r="J12" s="56"/>
    </row>
    <row r="13" spans="1:10" ht="15.75" customHeight="1" x14ac:dyDescent="0.3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0.24074074074074073</v>
      </c>
      <c r="E15" s="196">
        <f ca="1">IF(E9="","",E9/E14)</f>
        <v>0.38898721436405154</v>
      </c>
      <c r="F15" s="196" t="str">
        <f>IF(F9="","",F9/F14)</f>
        <v/>
      </c>
      <c r="G15" s="233">
        <f ca="1">IF(G12=0,0,G12/G14)</f>
        <v>3.6017334663338105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3">
      <c r="B18" s="58" t="s">
        <v>237</v>
      </c>
      <c r="C18" s="84">
        <f>Asset_Model!E59</f>
        <v>5428874</v>
      </c>
      <c r="D18" s="219">
        <f>C18/(Dashboard!I5/Data!C4)</f>
        <v>7.857005320693851</v>
      </c>
      <c r="E18" s="85" t="s">
        <v>234</v>
      </c>
      <c r="G18" s="137">
        <f>C18+C19+C20+C21</f>
        <v>5263760.3</v>
      </c>
    </row>
    <row r="19" spans="1:9" ht="15.75" customHeight="1" x14ac:dyDescent="0.3">
      <c r="B19" s="58" t="s">
        <v>241</v>
      </c>
      <c r="C19" s="84">
        <f>Asset_Model!E58</f>
        <v>58777.299999999996</v>
      </c>
      <c r="D19" s="219">
        <f>C19/(Dashboard!I5/Data!C4)</f>
        <v>8.5066177412851843E-2</v>
      </c>
      <c r="E19" s="85" t="s">
        <v>235</v>
      </c>
      <c r="G19" s="197">
        <f>G18*Data!C$4/Dashboard!I5</f>
        <v>7.6180424677303353</v>
      </c>
    </row>
    <row r="20" spans="1:9" ht="15.75" customHeight="1" x14ac:dyDescent="0.3">
      <c r="B20" s="58" t="s">
        <v>219</v>
      </c>
      <c r="C20" s="84">
        <f>-Asset_Model!D52</f>
        <v>-64114</v>
      </c>
      <c r="D20" s="219">
        <f>C20/(Dashboard!I5/Data!C4)</f>
        <v>-9.2789782767285736E-2</v>
      </c>
      <c r="E20" s="445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3">
      <c r="B21" s="85" t="s">
        <v>236</v>
      </c>
      <c r="C21" s="84">
        <f>-Asset_Model!E50</f>
        <v>-159777</v>
      </c>
      <c r="D21" s="219">
        <f>C21/(Dashboard!I5/Data!C4)</f>
        <v>-0.23123924760908088</v>
      </c>
      <c r="E21" s="445"/>
      <c r="F21" s="148">
        <f>D18</f>
        <v>7.857005320693851</v>
      </c>
      <c r="G21" s="147">
        <f>SUM(D19:D21)</f>
        <v>-0.23896285296351477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220</v>
      </c>
      <c r="C23" s="194" t="str">
        <f>B3</f>
        <v>(Numbers in 1000HKD)</v>
      </c>
      <c r="E23" s="449" t="s">
        <v>227</v>
      </c>
      <c r="F23" s="449"/>
      <c r="G23" s="449"/>
    </row>
    <row r="24" spans="1:9" ht="15.75" customHeight="1" x14ac:dyDescent="0.3">
      <c r="B24" s="127" t="str">
        <f>"Exit after Year "&amp;G4</f>
        <v>Exit after Year 2</v>
      </c>
      <c r="C24" s="127" t="s">
        <v>223</v>
      </c>
      <c r="D24" s="202" t="s">
        <v>216</v>
      </c>
      <c r="E24" s="305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3">
      <c r="B25" s="30" t="s">
        <v>296</v>
      </c>
      <c r="C25" s="14">
        <f>1/D25</f>
        <v>0.16666666666666666</v>
      </c>
      <c r="D25" s="298">
        <v>6</v>
      </c>
      <c r="E25" s="206">
        <f ca="1">G9*D25/G14</f>
        <v>2.1610400798002867</v>
      </c>
      <c r="F25" s="446">
        <f ca="1">SUM(C15:F15)</f>
        <v>0.62972795510479229</v>
      </c>
      <c r="G25" s="206">
        <f ca="1">$F$25+E25+$G$19</f>
        <v>10.408810502635415</v>
      </c>
      <c r="I25" s="74"/>
    </row>
    <row r="26" spans="1:9" ht="15.75" customHeight="1" x14ac:dyDescent="0.3">
      <c r="B26" s="30" t="s">
        <v>297</v>
      </c>
      <c r="C26" s="350">
        <f>1/D26</f>
        <v>0.125</v>
      </c>
      <c r="D26" s="351">
        <v>8</v>
      </c>
      <c r="E26" s="352">
        <f ca="1">G9*D26/G14</f>
        <v>2.8813867730670486</v>
      </c>
      <c r="F26" s="447"/>
      <c r="G26" s="352">
        <f ca="1">$F$25+E26+$G$19</f>
        <v>11.129157195902177</v>
      </c>
      <c r="I26" s="74" t="s">
        <v>306</v>
      </c>
    </row>
    <row r="27" spans="1:9" ht="15.75" customHeight="1" x14ac:dyDescent="0.3">
      <c r="B27" s="302" t="s">
        <v>304</v>
      </c>
      <c r="C27" s="303">
        <f t="shared" ref="C27" si="0">1/D27</f>
        <v>0.1</v>
      </c>
      <c r="D27" s="315">
        <v>10</v>
      </c>
      <c r="E27" s="207">
        <f ca="1">G9*D27/G14</f>
        <v>3.6017334663338105</v>
      </c>
      <c r="F27" s="448"/>
      <c r="G27" s="207">
        <f ca="1">$F$25+E27+$G$19</f>
        <v>11.849503889168938</v>
      </c>
      <c r="I27" s="74" t="s">
        <v>305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148</v>
      </c>
      <c r="C30" s="252">
        <f ca="1">MIN(Asset_Model!D7,G25*Exchange_Rate)+(ABS(Asset_Model!D7-G25*Exchange_Rate)*'Qualitative Analysis'!E8)</f>
        <v>13.228473799887135</v>
      </c>
      <c r="D30" s="23" t="str">
        <f ca="1">IF(C30&lt;E30,"&lt;",IF(C30=E30,"=","&gt;"))</f>
        <v>&gt;</v>
      </c>
      <c r="E30" s="251">
        <f ca="1">G26*Exchange_Rate</f>
        <v>11.129157195902177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3" t="s">
        <v>149</v>
      </c>
      <c r="D32" s="444"/>
      <c r="E32" s="30" t="s">
        <v>215</v>
      </c>
      <c r="F32" s="30" t="s">
        <v>18</v>
      </c>
      <c r="G32" s="30"/>
      <c r="H32" s="6"/>
    </row>
    <row r="33" spans="2:9" ht="15.75" customHeight="1" x14ac:dyDescent="0.3">
      <c r="B33" s="256" t="s">
        <v>229</v>
      </c>
      <c r="C33" s="253">
        <f ca="1">MIN(C30,E30)+ABS(C30-E30)*'Qualitative Analysis'!$E$64</f>
        <v>12.473933713005875</v>
      </c>
      <c r="D33" s="119" t="str">
        <f>Dashboard!J4</f>
        <v>HKD</v>
      </c>
      <c r="E33" s="120">
        <f ca="1">(C33-G19)/C9</f>
        <v>12.446171281436682</v>
      </c>
      <c r="F33" s="158">
        <f ca="1">C33/(Data!C28*Exchange_Rate*Data!C4/Common_Shares)</f>
        <v>0.43004218371133557</v>
      </c>
      <c r="G33" s="87"/>
      <c r="H33" s="6"/>
      <c r="I33" s="74"/>
    </row>
    <row r="34" spans="2:9" ht="15.75" customHeight="1" x14ac:dyDescent="0.3">
      <c r="B34" s="255" t="s">
        <v>228</v>
      </c>
      <c r="C34" s="254">
        <f ca="1">MAX(Asset_Model!D7,(G12/(1+G34)^G4+F25+G19)*Exchange_Rate)</f>
        <v>15.108249331388283</v>
      </c>
      <c r="D34" s="208" t="str">
        <f>D33</f>
        <v>HKD</v>
      </c>
      <c r="E34" s="120">
        <f ca="1">(C34-G19)/C9</f>
        <v>19.198205406511239</v>
      </c>
      <c r="F34" s="158">
        <f ca="1">C34/(Data!C28*Exchange_Rate*Data!C4/Common_Shares)</f>
        <v>0.52086091557078662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26" sqref="B26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150</v>
      </c>
      <c r="C2" s="95"/>
      <c r="D2" s="12"/>
      <c r="E2" s="12"/>
      <c r="G2" s="72" t="s">
        <v>137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154</v>
      </c>
      <c r="C10" s="20"/>
      <c r="D10" s="20"/>
      <c r="E10" s="12"/>
      <c r="G10" s="295"/>
    </row>
    <row r="11" spans="1:7" ht="15" customHeight="1" x14ac:dyDescent="0.3">
      <c r="B11" s="99" t="s">
        <v>155</v>
      </c>
      <c r="C11" s="93"/>
      <c r="E11" s="6"/>
      <c r="G11" s="295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5" t="s">
        <v>308</v>
      </c>
    </row>
    <row r="13" spans="1:7" ht="15" customHeight="1" x14ac:dyDescent="0.3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5"/>
    </row>
    <row r="14" spans="1:7" ht="15" customHeight="1" x14ac:dyDescent="0.3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5"/>
    </row>
    <row r="15" spans="1:7" ht="15" customHeight="1" x14ac:dyDescent="0.3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5"/>
    </row>
    <row r="16" spans="1:7" ht="15" customHeight="1" x14ac:dyDescent="0.3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5"/>
    </row>
    <row r="17" spans="2:7" ht="15" customHeight="1" x14ac:dyDescent="0.3">
      <c r="B17" s="99" t="s">
        <v>162</v>
      </c>
      <c r="D17" s="38"/>
      <c r="E17" s="23"/>
      <c r="G17" s="295"/>
    </row>
    <row r="18" spans="2:7" ht="15" customHeight="1" x14ac:dyDescent="0.3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5" t="s">
        <v>309</v>
      </c>
    </row>
    <row r="20" spans="2:7" ht="15" customHeight="1" x14ac:dyDescent="0.3">
      <c r="B20" s="53" t="s">
        <v>164</v>
      </c>
      <c r="D20" s="100">
        <f t="shared" si="1"/>
        <v>0</v>
      </c>
      <c r="E20" s="31" t="s">
        <v>174</v>
      </c>
      <c r="F20" s="6"/>
      <c r="G20" s="295"/>
    </row>
    <row r="21" spans="2:7" ht="15" customHeight="1" x14ac:dyDescent="0.3">
      <c r="B21" s="53" t="s">
        <v>165</v>
      </c>
      <c r="D21" s="100">
        <f t="shared" si="1"/>
        <v>4</v>
      </c>
      <c r="E21" s="31" t="s">
        <v>161</v>
      </c>
      <c r="F21" s="6"/>
      <c r="G21" s="295"/>
    </row>
    <row r="22" spans="2:7" ht="15" customHeight="1" x14ac:dyDescent="0.3">
      <c r="B22" s="53" t="s">
        <v>166</v>
      </c>
      <c r="D22" s="100">
        <f t="shared" si="1"/>
        <v>3</v>
      </c>
      <c r="E22" s="31" t="s">
        <v>152</v>
      </c>
      <c r="F22" s="6"/>
      <c r="G22" s="295"/>
    </row>
    <row r="23" spans="2:7" ht="15" customHeight="1" x14ac:dyDescent="0.3">
      <c r="B23" s="99" t="s">
        <v>167</v>
      </c>
      <c r="D23" s="38"/>
      <c r="E23" s="23"/>
      <c r="G23" s="295"/>
    </row>
    <row r="24" spans="2:7" ht="15" customHeight="1" x14ac:dyDescent="0.3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5" t="s">
        <v>310</v>
      </c>
    </row>
    <row r="25" spans="2:7" ht="15" customHeight="1" x14ac:dyDescent="0.3">
      <c r="B25" s="53" t="s">
        <v>169</v>
      </c>
      <c r="D25" s="100">
        <f t="shared" si="2"/>
        <v>3</v>
      </c>
      <c r="E25" s="31" t="s">
        <v>152</v>
      </c>
      <c r="F25" s="6"/>
      <c r="G25" s="295" t="s">
        <v>311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151</v>
      </c>
      <c r="F26" s="6"/>
      <c r="G26" s="295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151</v>
      </c>
      <c r="F27" s="6"/>
      <c r="G27" s="295"/>
    </row>
    <row r="28" spans="2:7" ht="15" customHeight="1" x14ac:dyDescent="0.3">
      <c r="B28" s="53" t="s">
        <v>170</v>
      </c>
      <c r="D28" s="100">
        <f t="shared" si="2"/>
        <v>2</v>
      </c>
      <c r="E28" s="31" t="s">
        <v>151</v>
      </c>
      <c r="F28" s="6"/>
      <c r="G28" s="295"/>
    </row>
    <row r="29" spans="2:7" ht="15" customHeight="1" x14ac:dyDescent="0.3">
      <c r="B29" s="99" t="s">
        <v>171</v>
      </c>
      <c r="D29" s="38"/>
      <c r="E29" s="23"/>
      <c r="G29" s="295"/>
    </row>
    <row r="30" spans="2:7" ht="15" customHeight="1" x14ac:dyDescent="0.3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5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174</v>
      </c>
      <c r="F32" s="6"/>
      <c r="G32" s="295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174</v>
      </c>
      <c r="F33" s="6"/>
      <c r="G33" s="295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174</v>
      </c>
      <c r="F34" s="6"/>
      <c r="G34" s="295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174</v>
      </c>
      <c r="G35" s="295"/>
    </row>
    <row r="36" spans="2:7" ht="15" customHeight="1" x14ac:dyDescent="0.3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5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161</v>
      </c>
      <c r="F38" s="6"/>
      <c r="G38" s="295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161</v>
      </c>
      <c r="F39" s="6"/>
      <c r="G39" s="295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161</v>
      </c>
      <c r="F40" s="6"/>
      <c r="G40" s="295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159</v>
      </c>
      <c r="G41" s="295"/>
    </row>
    <row r="42" spans="2:7" ht="15" customHeight="1" x14ac:dyDescent="0.3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5"/>
    </row>
    <row r="44" spans="2:7" ht="15" customHeight="1" x14ac:dyDescent="0.3">
      <c r="B44" s="53" t="s">
        <v>179</v>
      </c>
      <c r="D44" s="100">
        <f t="shared" si="5"/>
        <v>0</v>
      </c>
      <c r="E44" s="31" t="s">
        <v>174</v>
      </c>
      <c r="F44" s="6"/>
      <c r="G44" s="295"/>
    </row>
    <row r="45" spans="2:7" ht="15" customHeight="1" x14ac:dyDescent="0.3">
      <c r="B45" s="53" t="s">
        <v>180</v>
      </c>
      <c r="D45" s="100">
        <f t="shared" si="5"/>
        <v>0</v>
      </c>
      <c r="E45" s="31" t="s">
        <v>174</v>
      </c>
      <c r="F45" s="6"/>
      <c r="G45" s="295"/>
    </row>
    <row r="46" spans="2:7" ht="15" customHeight="1" x14ac:dyDescent="0.3">
      <c r="B46" s="53" t="s">
        <v>181</v>
      </c>
      <c r="D46" s="100">
        <f t="shared" si="5"/>
        <v>1</v>
      </c>
      <c r="E46" s="31" t="s">
        <v>159</v>
      </c>
      <c r="F46" s="6"/>
      <c r="G46" s="295" t="s">
        <v>312</v>
      </c>
    </row>
    <row r="47" spans="2:7" ht="15" customHeight="1" x14ac:dyDescent="0.3">
      <c r="B47" s="53" t="s">
        <v>182</v>
      </c>
      <c r="D47" s="100">
        <f t="shared" si="5"/>
        <v>3</v>
      </c>
      <c r="E47" s="31" t="s">
        <v>152</v>
      </c>
      <c r="F47" s="6"/>
      <c r="G47" s="295"/>
    </row>
    <row r="48" spans="2:7" ht="15" customHeight="1" x14ac:dyDescent="0.3">
      <c r="B48" s="53" t="s">
        <v>208</v>
      </c>
      <c r="D48" s="100">
        <f t="shared" si="5"/>
        <v>0</v>
      </c>
      <c r="E48" s="31" t="s">
        <v>174</v>
      </c>
      <c r="F48" s="6"/>
      <c r="G48" s="295"/>
    </row>
    <row r="49" spans="2:8" ht="15" customHeight="1" x14ac:dyDescent="0.3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5"/>
    </row>
    <row r="51" spans="2:8" ht="15" customHeight="1" x14ac:dyDescent="0.3">
      <c r="B51" s="53" t="s">
        <v>185</v>
      </c>
      <c r="D51" s="100">
        <f t="shared" si="6"/>
        <v>0</v>
      </c>
      <c r="E51" s="31" t="s">
        <v>174</v>
      </c>
      <c r="F51" s="6"/>
      <c r="G51" s="295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151</v>
      </c>
      <c r="G52" s="295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5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5"/>
      <c r="H54" s="53"/>
    </row>
    <row r="55" spans="2:8" ht="15" customHeight="1" x14ac:dyDescent="0.3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5"/>
      <c r="H56" s="53"/>
    </row>
    <row r="57" spans="2:8" ht="15" customHeight="1" x14ac:dyDescent="0.3">
      <c r="B57" s="53" t="s">
        <v>188</v>
      </c>
      <c r="D57" s="100">
        <f t="shared" si="7"/>
        <v>0</v>
      </c>
      <c r="E57" s="31" t="s">
        <v>174</v>
      </c>
      <c r="F57" s="53"/>
      <c r="G57" s="295"/>
      <c r="H57" s="53"/>
    </row>
    <row r="58" spans="2:8" ht="15" customHeight="1" x14ac:dyDescent="0.3">
      <c r="B58" s="53" t="s">
        <v>209</v>
      </c>
      <c r="D58" s="100">
        <f t="shared" si="7"/>
        <v>0</v>
      </c>
      <c r="E58" s="31" t="s">
        <v>174</v>
      </c>
      <c r="F58" s="53"/>
      <c r="G58" s="295"/>
      <c r="H58" s="53"/>
    </row>
    <row r="59" spans="2:8" ht="15" customHeight="1" x14ac:dyDescent="0.3">
      <c r="B59" s="53" t="s">
        <v>210</v>
      </c>
      <c r="D59" s="100">
        <f t="shared" si="7"/>
        <v>4</v>
      </c>
      <c r="E59" s="31" t="s">
        <v>161</v>
      </c>
      <c r="F59" s="53"/>
      <c r="G59" s="295"/>
      <c r="H59" s="53"/>
    </row>
    <row r="60" spans="2:8" ht="15" customHeight="1" x14ac:dyDescent="0.3">
      <c r="B60" s="53" t="s">
        <v>211</v>
      </c>
      <c r="D60" s="100">
        <f t="shared" si="7"/>
        <v>4</v>
      </c>
      <c r="E60" s="31" t="s">
        <v>161</v>
      </c>
      <c r="F60" s="53"/>
      <c r="G60" s="295"/>
      <c r="H60" s="53"/>
    </row>
    <row r="61" spans="2:8" ht="15" customHeight="1" x14ac:dyDescent="0.3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5"/>
      <c r="H61" s="53"/>
    </row>
    <row r="62" spans="2:8" ht="15" customHeight="1" x14ac:dyDescent="0.3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191</v>
      </c>
      <c r="C66" s="7"/>
      <c r="D66" s="7"/>
      <c r="E66" s="55"/>
    </row>
    <row r="67" spans="2:7" ht="15" customHeight="1" x14ac:dyDescent="0.3">
      <c r="B67" s="106" t="s">
        <v>192</v>
      </c>
      <c r="C67" s="107"/>
      <c r="D67" s="107"/>
      <c r="E67" s="108"/>
    </row>
    <row r="68" spans="2:7" ht="15" customHeight="1" x14ac:dyDescent="0.3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2023-03-16T10:22:56Z</dcterms:modified>
  <cp:category/>
  <cp:contentStatus/>
</cp:coreProperties>
</file>