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4CA96B4-E174-4868-82D3-BA624611A18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36" i="1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I35" i="1" l="1"/>
  <c r="D14" i="1"/>
  <c r="F14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C33" i="4" s="1"/>
  <c r="E5" i="5"/>
  <c r="D30" i="4" l="1"/>
  <c r="H14" i="1"/>
  <c r="J25" i="1" s="1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<sst xmlns="http://schemas.openxmlformats.org/spreadsheetml/2006/main" count="394" uniqueCount="332">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</sst>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D34" sqref="D3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309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310</v>
      </c>
      <c r="D4" s="386"/>
      <c r="E4" s="6"/>
      <c r="G4" s="5" t="s">
        <v>5</v>
      </c>
      <c r="I4" s="32">
        <v>17.28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44987</v>
      </c>
      <c r="D5" s="386"/>
      <c r="E5" s="122" t="str">
        <f ca="1">IF(C5+30&gt;=TODAY(),"Patience Premium","")</f>
        <v>Patience Premium</v>
      </c>
      <c r="G5" s="5" t="s">
        <v>8</v>
      </c>
      <c r="I5" s="379">
        <v>7913203590</v>
      </c>
      <c r="J5" s="38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136740.1580352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10.240733692204227</v>
      </c>
      <c r="J9" s="48">
        <f>IF(I9="NNI","NNI",1/I9)</f>
        <v>9.7649253467185795E-2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0.68506854369957237</v>
      </c>
      <c r="J10" s="130">
        <f>IF(Asset_Model!D60/'FCFF Model'!C4&lt;0,"Negative EV",Asset_Model!D60/'FCFF Model'!C4)</f>
        <v>230.41618349082697</v>
      </c>
    </row>
    <row r="11" spans="1:12" ht="15.75" customHeight="1" thickBot="1" x14ac:dyDescent="0.35">
      <c r="B11" s="313" t="s">
        <v>278</v>
      </c>
      <c r="C11" s="409">
        <f ca="1">C12-D10</f>
        <v>6.7000000000000004E-2</v>
      </c>
      <c r="D11" s="410"/>
      <c r="E11" s="13"/>
      <c r="G11" s="5" t="s">
        <v>15</v>
      </c>
      <c r="H11" s="6"/>
      <c r="I11" s="407" t="s">
        <v>311</v>
      </c>
      <c r="J11" s="408"/>
    </row>
    <row r="12" spans="1:12" ht="15.75" customHeight="1" thickTop="1" x14ac:dyDescent="0.3">
      <c r="B12" s="314" t="s">
        <v>150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7.8465120610971395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7.2198974945245427</v>
      </c>
      <c r="E14" s="127" t="s">
        <v>234</v>
      </c>
      <c r="F14" s="184">
        <f ca="1">MAX('FCFF Model'!C30,'FCFF Model'!E30)</f>
        <v>27.050043260674713</v>
      </c>
      <c r="G14" s="185" t="s">
        <v>24</v>
      </c>
      <c r="H14" s="193">
        <f ca="1">IF('FCFF Model'!C33&lt;0, "Error", 'FCFF Model'!C33)</f>
        <v>19.674780373600939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17.28</v>
      </c>
      <c r="C16" s="418">
        <v>0.1</v>
      </c>
      <c r="D16" s="159">
        <f ca="1">H14/B16-1-C16</f>
        <v>3.8586827175980248E-2</v>
      </c>
      <c r="E16" s="415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-2.3077682841633713</v>
      </c>
      <c r="I16" s="402" t="s">
        <v>26</v>
      </c>
      <c r="J16" s="206">
        <f>B16-$H$16</f>
        <v>19.587768284163374</v>
      </c>
    </row>
    <row r="17" spans="1:10" ht="15.75" customHeight="1" x14ac:dyDescent="0.3">
      <c r="B17" s="290">
        <f ca="1">H14/(1+C16)</f>
        <v>17.886163976000852</v>
      </c>
      <c r="C17" s="419"/>
      <c r="D17" s="289">
        <f ca="1">H14/B17-1-C16</f>
        <v>0</v>
      </c>
      <c r="E17" s="416"/>
      <c r="F17" s="162">
        <f ca="1">E16/B17</f>
        <v>0</v>
      </c>
      <c r="G17" s="403"/>
      <c r="H17" s="400"/>
      <c r="I17" s="403"/>
      <c r="J17" s="205">
        <f ca="1">B17-$H$16</f>
        <v>20.193932260164225</v>
      </c>
    </row>
    <row r="18" spans="1:10" ht="15.75" customHeight="1" x14ac:dyDescent="0.3">
      <c r="B18" s="356">
        <f>C35</f>
        <v>15</v>
      </c>
      <c r="C18" s="420"/>
      <c r="D18" s="160">
        <f ca="1">H14/B18-1-C16</f>
        <v>0.21165202490672916</v>
      </c>
      <c r="E18" s="417"/>
      <c r="F18" s="163">
        <f>E16/B18</f>
        <v>0</v>
      </c>
      <c r="G18" s="404"/>
      <c r="H18" s="401"/>
      <c r="I18" s="404"/>
      <c r="J18" s="207">
        <f>B18-$H$16</f>
        <v>17.307768284163373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/>
      <c r="D22" s="371"/>
      <c r="E22" s="371"/>
      <c r="F22" s="371"/>
      <c r="G22" s="406"/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15.739824298880752</v>
      </c>
    </row>
    <row r="26" spans="1:10" ht="15.75" customHeight="1" x14ac:dyDescent="0.3">
      <c r="B26" s="23" t="s">
        <v>33</v>
      </c>
      <c r="C26" s="388">
        <v>44987</v>
      </c>
      <c r="D26" s="389"/>
      <c r="E26" s="424" t="str">
        <f>IF(C26="","","Action_Planning")</f>
        <v>Action_Planning</v>
      </c>
      <c r="F26" s="425"/>
      <c r="G26" s="425"/>
      <c r="H26" s="426"/>
      <c r="I26" s="405" t="s">
        <v>34</v>
      </c>
      <c r="J26" s="405"/>
    </row>
    <row r="27" spans="1:10" ht="15.75" customHeight="1" x14ac:dyDescent="0.3">
      <c r="B27" s="23" t="s">
        <v>35</v>
      </c>
      <c r="C27" s="414">
        <f>C31/D25</f>
        <v>5.5E-2</v>
      </c>
      <c r="D27" s="369"/>
      <c r="E27" s="413">
        <f>E31/D25</f>
        <v>0.10199999999999999</v>
      </c>
      <c r="F27" s="369"/>
      <c r="G27" s="422">
        <f>G31/D25</f>
        <v>0</v>
      </c>
      <c r="H27" s="423"/>
      <c r="I27" s="421">
        <f>C27+E27+G27</f>
        <v>0.157</v>
      </c>
      <c r="J27" s="421"/>
    </row>
    <row r="28" spans="1:10" ht="15.75" customHeight="1" x14ac:dyDescent="0.3">
      <c r="B28" s="23" t="s">
        <v>36</v>
      </c>
      <c r="C28" s="370">
        <v>2000</v>
      </c>
      <c r="D28" s="371"/>
      <c r="E28" s="370">
        <v>4000</v>
      </c>
      <c r="F28" s="371"/>
      <c r="G28" s="379"/>
      <c r="H28" s="380"/>
      <c r="I28" s="359">
        <f>C28+E28+G28</f>
        <v>6000</v>
      </c>
      <c r="J28" s="359"/>
    </row>
    <row r="29" spans="1:10" ht="15.75" customHeight="1" x14ac:dyDescent="0.3">
      <c r="B29" s="23" t="s">
        <v>37</v>
      </c>
      <c r="C29" s="372">
        <v>16.5</v>
      </c>
      <c r="D29" s="371"/>
      <c r="E29" s="372">
        <v>15.3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130567.859235</v>
      </c>
      <c r="D30" s="364"/>
      <c r="E30" s="357">
        <f>E29*$I$5/1000000</f>
        <v>121072.014927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33000</v>
      </c>
      <c r="D31" s="366"/>
      <c r="E31" s="358">
        <f>E28*E29</f>
        <v>61200</v>
      </c>
      <c r="F31" s="367"/>
      <c r="G31" s="377">
        <f>G28*G29</f>
        <v>0</v>
      </c>
      <c r="H31" s="378"/>
      <c r="I31" s="358">
        <f>C31+E31+G31</f>
        <v>94200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15.7</v>
      </c>
      <c r="F32" s="369"/>
      <c r="G32" s="117"/>
      <c r="H32" s="117"/>
      <c r="I32" s="368">
        <f>IF(I31=0,"",I31/I28)</f>
        <v>15.7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124237.296363</v>
      </c>
      <c r="F33" s="364"/>
      <c r="G33" s="118"/>
      <c r="H33" s="118"/>
      <c r="I33" s="357">
        <f>IF(I32="","",I32*$I$5/1000000)</f>
        <v>124237.296363</v>
      </c>
      <c r="J33" s="357"/>
    </row>
    <row r="34" spans="2:11" ht="15.75" customHeight="1" x14ac:dyDescent="0.3"/>
    <row r="35" spans="2:11" ht="15.75" customHeight="1" x14ac:dyDescent="0.3">
      <c r="B35" s="146" t="s">
        <v>326</v>
      </c>
      <c r="C35" s="427">
        <v>15</v>
      </c>
      <c r="D35" s="428"/>
      <c r="G35" s="432" t="s">
        <v>328</v>
      </c>
      <c r="H35" s="433"/>
      <c r="I35" s="427">
        <f ca="1">'FCFF Model'!C34*0.8</f>
        <v>32.903732767036438</v>
      </c>
      <c r="J35" s="428"/>
    </row>
    <row r="36" spans="2:11" ht="15.75" customHeight="1" x14ac:dyDescent="0.3">
      <c r="B36" s="146" t="s">
        <v>327</v>
      </c>
      <c r="C36" s="370">
        <f>E28</f>
        <v>4000</v>
      </c>
      <c r="D36" s="429"/>
    </row>
    <row r="37" spans="2:11" ht="15.75" customHeight="1" x14ac:dyDescent="0.3"/>
    <row r="38" spans="2:11" ht="15.75" customHeight="1" x14ac:dyDescent="0.3">
      <c r="J38" s="430"/>
      <c r="K38" s="431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3">
    <mergeCell ref="C35:D35"/>
    <mergeCell ref="C36:D36"/>
    <mergeCell ref="I35:J35"/>
    <mergeCell ref="J38:K38"/>
    <mergeCell ref="G35:H35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7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6" priority="14" operator="lessThan">
      <formula>0</formula>
    </cfRule>
  </conditionalFormatting>
  <conditionalFormatting sqref="H16">
    <cfRule type="cellIs" dxfId="15" priority="9" operator="greaterThan">
      <formula>$B$16</formula>
    </cfRule>
  </conditionalFormatting>
  <conditionalFormatting sqref="H14">
    <cfRule type="cellIs" dxfId="14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J38:K38">
    <cfRule type="containsBlanks" priority="3">
      <formula>LEN(TRIM(J38))=0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3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18.988582303582657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1.3578342802920904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8694432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8694432</v>
      </c>
      <c r="E53" s="366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44">
        <v>0</v>
      </c>
      <c r="E54" s="37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4">
        <v>0</v>
      </c>
      <c r="E55" s="37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42">
        <f>((Dashboard!I6*Data!C4)+D52+E50-C58-C59)</f>
        <v>134433154.0352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0">
        <f>((C26-C11-C12-C14-C15-C16*G16-C19*G19-C20*G20)-I26)/Data!C7</f>
        <v>-0.64687443506582265</v>
      </c>
      <c r="E63" s="441"/>
    </row>
    <row r="64" spans="2:9" ht="15" customHeight="1" x14ac:dyDescent="0.3">
      <c r="B64" s="3" t="s">
        <v>267</v>
      </c>
      <c r="D64" s="438">
        <v>6.3399999999999998E-2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D63</f>
        <v>-0.64687443506582265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G18*Data!C$4/Dashboard!I5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47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47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1" t="s">
        <v>231</v>
      </c>
      <c r="F23" s="451"/>
      <c r="G23" s="451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48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9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50"/>
      <c r="G27" s="207">
        <f ca="1">$F$25+E27+$G$19</f>
        <v>4.6649141873049986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7.2198974945245427</v>
      </c>
      <c r="D30" s="23" t="str">
        <f ca="1">IF(C30&lt;E30,"&lt;",IF(C30=E30,"=","&gt;"))</f>
        <v>&lt;</v>
      </c>
      <c r="E30" s="251">
        <f ca="1">G26*Exchange_Rate</f>
        <v>27.050043260674713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5" t="s">
        <v>153</v>
      </c>
      <c r="D32" s="446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19.674780373600939</v>
      </c>
      <c r="D33" s="119" t="str">
        <f>Dashboard!J4</f>
        <v>HKD</v>
      </c>
      <c r="E33" s="120">
        <f ca="1">(C33-G19)/C9</f>
        <v>441.25136689200139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41.129665958795549</v>
      </c>
      <c r="D34" s="208" t="str">
        <f>D33</f>
        <v>HKD</v>
      </c>
      <c r="E34" s="120">
        <f ca="1">(C34-G19)/C9</f>
        <v>915.33858774813314</v>
      </c>
      <c r="F34" s="158">
        <f ca="1">C34/(Data!C28*Exchange_Rate*Data!C4/Common_Shares)</f>
        <v>1.6305926134977975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2023-03-16T10:23:09Z</dcterms:modified>
  <cp:category/>
  <cp:contentStatus/>
</cp:coreProperties>
</file>