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DFDA1FCB-3689-47C7-83FE-63BD0BCF98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I36" i="1" l="1"/>
  <c r="B16" i="1"/>
  <c r="E26" i="1"/>
  <c r="C36" i="1"/>
  <c r="B18" i="1"/>
  <c r="E7" i="3"/>
  <c r="E6" i="1"/>
  <c r="C26" i="4"/>
  <c r="E12" i="7"/>
  <c r="E8" i="7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E9" i="7" l="1"/>
  <c r="E11" i="7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D33" i="2" s="1"/>
  <c r="D34" i="2" s="1"/>
  <c r="I6" i="3"/>
  <c r="E58" i="3"/>
  <c r="D58" i="3" s="1"/>
  <c r="D36" i="5"/>
  <c r="E33" i="2"/>
  <c r="E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 s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E29" i="4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l="1"/>
  <c r="H14" i="1" s="1"/>
  <c r="D30" i="4"/>
  <c r="D14" i="1"/>
  <c r="F46" i="1" s="1"/>
  <c r="F14" i="1"/>
  <c r="I35" i="1" s="1"/>
  <c r="F45" i="1" s="1"/>
  <c r="F42" i="1" s="1"/>
  <c r="E42" i="1" s="1"/>
  <c r="F48" i="1" s="1"/>
  <c r="E49" i="1" l="1"/>
  <c r="F49" i="1"/>
  <c r="E50" i="1" s="1"/>
  <c r="F50" i="1" s="1"/>
  <c r="E33" i="4"/>
  <c r="B17" i="1"/>
  <c r="D17" i="1" s="1"/>
  <c r="J25" i="1" s="1"/>
  <c r="F33" i="4"/>
  <c r="F17" i="1" l="1"/>
  <c r="J17" i="1"/>
  <c r="D18" i="1"/>
  <c r="D16" i="1"/>
</calcChain>
</file>

<file path=xl/sharedStrings.xml><?xml version="1.0" encoding="utf-8"?>
<sst xmlns="http://schemas.openxmlformats.org/spreadsheetml/2006/main" count="410" uniqueCount="347">
  <si>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</si>
  <si>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</si>
  <si>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</si>
  <si>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</si>
  <si>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</si>
  <si>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</si>
  <si>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</si>
  <si>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</si>
  <si>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</si>
  <si>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</si>
  <si>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</si>
  <si>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</si>
  <si>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</si>
  <si>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</si>
  <si>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</si>
  <si>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</si>
  <si>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</si>
  <si>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</si>
  <si>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</si>
  <si>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</si>
  <si>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</si>
  <si>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</si>
  <si>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</si>
  <si>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</si>
  <si>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</si>
  <si>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</si>
  <si>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</si>
  <si>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</si>
  <si>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</si>
  <si>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</si>
  <si>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</si>
  <si>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</si>
  <si>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</si>
  <si>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</si>
  <si>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</si>
  <si>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</si>
  <si>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</si>
  <si>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</si>
  <si>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</si>
  <si>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</si>
  <si>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</si>
  <si>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</si>
  <si>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</si>
  <si>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</si>
  <si>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</si>
  <si>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</si>
  <si>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</si>
  <si>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</si>
  <si>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</si>
  <si>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</si>
  <si>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</si>
  <si>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</si>
  <si>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</si>
  <si>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</si>
  <si>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</si>
  <si>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</si>
  <si>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</si>
  <si>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</si>
  <si>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</si>
  <si>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</si>
  <si>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</si>
  <si>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</si>
  <si>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</si>
  <si>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</si>
  <si>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</si>
  <si>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</si>
  <si>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</si>
  <si>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</si>
  <si>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</si>
  <si>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</si>
  <si>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</si>
  <si>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</si>
  <si>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</si>
  <si>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</si>
  <si>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</si>
  <si>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</si>
  <si>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</si>
  <si>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</si>
  <si>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</si>
  <si>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</si>
  <si>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</si>
  <si>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</si>
  <si>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</si>
  <si>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</si>
  <si>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</si>
  <si>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</si>
  <si>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</si>
  <si>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</si>
  <si>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</si>
  <si>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</si>
  <si>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</si>
  <si>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</si>
  <si>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</si>
  <si>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</si>
  <si>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</si>
  <si>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</si>
  <si>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</si>
  <si>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</si>
  <si>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</si>
  <si>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</si>
  <si>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</si>
  <si>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</si>
  <si>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</si>
  <si>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</si>
  <si>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</si>
  <si>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</si>
  <si>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</si>
  <si>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</si>
  <si>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</si>
  <si>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</si>
  <si>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</si>
  <si>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</si>
  <si>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</si>
  <si>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</si>
  <si>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</si>
  <si>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</si>
  <si>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</si>
  <si>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</si>
  <si>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</si>
  <si>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</si>
  <si>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</si>
  <si>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</si>
  <si>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</si>
  <si>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</si>
  <si>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</si>
  <si>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</si>
  <si>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</si>
  <si>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</si>
  <si>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</si>
  <si>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</si>
  <si>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</si>
  <si>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</si>
  <si>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</si>
  <si>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</si>
  <si>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</si>
  <si>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</si>
  <si>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</si>
  <si>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</si>
  <si>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</si>
  <si>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</si>
  <si>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</si>
  <si>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</si>
  <si>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</si>
  <si>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</si>
  <si>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</si>
  <si>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</si>
  <si>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</si>
  <si>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</si>
  <si>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</si>
  <si>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</si>
  <si>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</si>
  <si>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</si>
  <si>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</si>
  <si>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</si>
  <si>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</si>
  <si>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</si>
  <si>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</si>
  <si>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</si>
  <si>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</si>
  <si>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</si>
  <si>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</si>
  <si>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</si>
  <si>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</si>
  <si>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</si>
  <si>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</si>
  <si>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</si>
  <si>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</si>
  <si>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</si>
  <si>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</si>
  <si>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</si>
  <si>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</si>
  <si>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</si>
  <si>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</si>
  <si>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</si>
  <si>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</si>
  <si>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</si>
  <si>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</si>
  <si>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</si>
  <si>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</si>
  <si>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</si>
  <si>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</si>
  <si>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</si>
  <si>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</si>
  <si>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</si>
  <si>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</si>
  <si>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</si>
  <si>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</si>
  <si>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</si>
  <si>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</si>
  <si>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</si>
  <si>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</si>
  <si>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</si>
  <si>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</si>
  <si>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</si>
  <si>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</si>
  <si>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</si>
  <si>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</si>
  <si>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</si>
  <si>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</si>
  <si>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</si>
  <si>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</si>
  <si>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</si>
  <si>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</si>
  <si>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</si>
  <si>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</si>
  <si>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</si>
  <si>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</si>
  <si>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</si>
  <si>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</si>
  <si>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</si>
  <si>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</si>
  <si>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</si>
  <si>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</si>
  <si>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</si>
  <si>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</si>
  <si>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</si>
  <si>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</si>
  <si>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</si>
  <si>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</si>
  <si>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</si>
  <si>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</si>
  <si>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</si>
  <si>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</si>
  <si>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</si>
  <si>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</si>
  <si>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</si>
  <si>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</si>
  <si>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</si>
  <si>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</si>
  <si>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</si>
  <si>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</si>
  <si>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</si>
  <si>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</si>
  <si>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</si>
  <si>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</si>
  <si>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</si>
  <si>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</si>
  <si>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</si>
  <si>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</si>
  <si>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</si>
  <si>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</si>
  <si>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</si>
  <si>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</si>
  <si>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</si>
  <si>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</si>
  <si>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</si>
  <si>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</si>
  <si>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</si>
  <si>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</si>
  <si>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</si>
  <si>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</si>
  <si>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</si>
  <si>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</si>
  <si>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</si>
  <si>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</si>
  <si>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</si>
  <si>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</si>
  <si>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</si>
  <si>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</si>
  <si>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</si>
  <si>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</si>
  <si>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</si>
  <si>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</si>
  <si>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</si>
  <si>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</si>
  <si>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</si>
  <si>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</si>
  <si>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</si>
  <si>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</si>
  <si>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</si>
  <si>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</si>
  <si>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</si>
  <si>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</si>
  <si>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</si>
  <si>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</si>
  <si>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</si>
  <si>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</si>
  <si>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</si>
  <si>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</si>
  <si>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</si>
  <si>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</si>
  <si>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</si>
  <si>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</si>
  <si>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</si>
  <si>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</si>
  <si>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</si>
  <si>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</si>
  <si>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</si>
  <si>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</si>
  <si>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</si>
  <si>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</si>
  <si>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</si>
  <si>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</si>
  <si>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</si>
  <si>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</si>
  <si>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</si>
  <si>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</si>
  <si>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</si>
  <si>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</si>
  <si>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</si>
  <si>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</si>
  <si>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</si>
  <si>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</si>
  <si>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</si>
  <si>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</si>
  <si>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</si>
  <si>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</si>
  <si>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</si>
  <si>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</si>
  <si>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</si>
  <si>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</si>
  <si>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</si>
  <si>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</si>
  <si>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</si>
  <si>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</si>
  <si>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</si>
  <si>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</si>
  <si>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</si>
  <si>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</si>
  <si>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</si>
  <si>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</si>
  <si>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</si>
  <si>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</si>
  <si>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</si>
  <si>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</si>
  <si>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</si>
  <si>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</si>
  <si>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</si>
  <si>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</si>
  <si>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</si>
  <si>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</si>
  <si>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</si>
  <si>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</si>
  <si>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</si>
  <si>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</si>
  <si>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</si>
  <si>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</si>
  <si>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</si>
  <si>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</si>
  <si>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</si>
  <si>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</si>
  <si>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W = The estimated probability of win</t>
  </si>
  <si>
    <t>3. The business quality rating (proxy for not overestimating the exit)</t>
  </si>
  <si>
    <t>capped at</t>
  </si>
  <si>
    <t>Fast Growers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</si>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</sst>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8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3" t="s">
        <v>303</v>
      </c>
      <c r="D3" s="394"/>
      <c r="E3" s="15"/>
      <c r="G3" s="7" t="s">
        <v>2</v>
      </c>
      <c r="I3" s="405" t="s">
        <v>3</v>
      </c>
      <c r="J3" s="406"/>
    </row>
    <row r="4" spans="1:12" ht="15.75" customHeight="1" x14ac:dyDescent="0.3">
      <c r="B4" s="5" t="s">
        <v>4</v>
      </c>
      <c r="C4" s="395" t="s">
        <v>304</v>
      </c>
      <c r="D4" s="396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97">
        <v>44987</v>
      </c>
      <c r="D5" s="396"/>
      <c r="E5" s="122" t="str">
        <f ca="1">IF(C5+30&gt;=TODAY(),"Patience Premium","")</f>
        <v>Patience Premium</v>
      </c>
      <c r="G5" s="5" t="s">
        <v>8</v>
      </c>
      <c r="I5" s="389">
        <v>7913203590</v>
      </c>
      <c r="J5" s="390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7">
        <f>I4*I5/1000000</f>
        <v>130567.859235</v>
      </c>
      <c r="J6" s="408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268</v>
      </c>
      <c r="C10" s="300" t="s">
        <v>269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272</v>
      </c>
      <c r="C11" s="419">
        <f ca="1">C12-D10</f>
        <v>6.6799999999999998E-2</v>
      </c>
      <c r="D11" s="420"/>
      <c r="E11" s="13"/>
      <c r="G11" s="5" t="s">
        <v>15</v>
      </c>
      <c r="H11" s="6"/>
      <c r="I11" s="417" t="s">
        <v>305</v>
      </c>
      <c r="J11" s="418"/>
    </row>
    <row r="12" spans="1:12" ht="15.75" customHeight="1" thickTop="1" x14ac:dyDescent="0.3">
      <c r="B12" s="314" t="s">
        <v>145</v>
      </c>
      <c r="C12" s="421">
        <f ca="1">IF(C10="CN",8%,6%)*IF($C$5+30&gt;=TODAY(),1.2,1)</f>
        <v>9.6000000000000002E-2</v>
      </c>
      <c r="D12" s="422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428">
        <v>0.1</v>
      </c>
      <c r="D16" s="159">
        <f ca="1">IF(B17='FCFF Model'!G19,"Asset Play", H14/B16-1-C16)</f>
        <v>9.2824349864347816E-2</v>
      </c>
      <c r="E16" s="425">
        <f>'FCFF Model'!D11*Exchange_Rate</f>
        <v>0</v>
      </c>
      <c r="F16" s="161">
        <f>E16/B16</f>
        <v>0</v>
      </c>
      <c r="G16" s="412" t="s">
        <v>25</v>
      </c>
      <c r="H16" s="409">
        <f>('FCFF Model'!G19)*Exchange_Rate</f>
        <v>-2.308568405350901</v>
      </c>
      <c r="I16" s="412" t="s">
        <v>26</v>
      </c>
      <c r="J16" s="206">
        <f>B16-$H$16</f>
        <v>18.808568405350901</v>
      </c>
    </row>
    <row r="17" spans="1:10" ht="15.75" customHeight="1" x14ac:dyDescent="0.3">
      <c r="B17" s="290">
        <f ca="1">MAX(H14/(1+C16),'FCFF Model'!G19*Exchange_Rate)</f>
        <v>17.892365247965216</v>
      </c>
      <c r="C17" s="429"/>
      <c r="D17" s="289">
        <f ca="1">IF(B17='FCFF Model'!G19,"Asset Play",H14/B17-1-C16)</f>
        <v>8.3266726846886741E-17</v>
      </c>
      <c r="E17" s="426"/>
      <c r="F17" s="162">
        <f ca="1">E16/B17</f>
        <v>0</v>
      </c>
      <c r="G17" s="413"/>
      <c r="H17" s="410"/>
      <c r="I17" s="413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430"/>
      <c r="D18" s="160">
        <f ca="1">IF(B17='FCFF Model'!G19,"Asset Play", H14/B18-1-C16)</f>
        <v>0.21210678485078258</v>
      </c>
      <c r="E18" s="427"/>
      <c r="F18" s="163">
        <f>E16/B18</f>
        <v>0</v>
      </c>
      <c r="G18" s="414"/>
      <c r="H18" s="411"/>
      <c r="I18" s="414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344</v>
      </c>
      <c r="E20" s="266" t="s">
        <v>259</v>
      </c>
      <c r="G20" s="6"/>
      <c r="H20" s="6"/>
      <c r="I20" s="358"/>
    </row>
    <row r="21" spans="1:10" ht="15.75" customHeight="1" x14ac:dyDescent="0.3">
      <c r="A21" s="6"/>
      <c r="B21" s="24" t="s">
        <v>28</v>
      </c>
      <c r="C21" s="400"/>
      <c r="D21" s="401"/>
      <c r="E21" s="401"/>
      <c r="F21" s="401"/>
      <c r="G21" s="401"/>
      <c r="H21" s="401"/>
      <c r="I21" s="401"/>
      <c r="J21" s="402"/>
    </row>
    <row r="22" spans="1:10" ht="52.5" customHeight="1" x14ac:dyDescent="0.3">
      <c r="A22" s="6"/>
      <c r="B22" s="24" t="s">
        <v>29</v>
      </c>
      <c r="C22" s="416"/>
      <c r="D22" s="381"/>
      <c r="E22" s="381"/>
      <c r="F22" s="381"/>
      <c r="G22" s="416"/>
      <c r="H22" s="416"/>
      <c r="I22" s="381"/>
      <c r="J22" s="381"/>
    </row>
    <row r="23" spans="1:10" ht="52.5" customHeight="1" x14ac:dyDescent="0.3">
      <c r="A23" s="6"/>
      <c r="B23" s="25" t="s">
        <v>30</v>
      </c>
      <c r="C23" s="403"/>
      <c r="D23" s="404"/>
      <c r="E23" s="404"/>
      <c r="F23" s="404"/>
      <c r="G23" s="403"/>
      <c r="H23" s="403"/>
      <c r="I23" s="404"/>
      <c r="J23" s="40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54">
        <v>0.15</v>
      </c>
      <c r="I25" s="30" t="s">
        <v>318</v>
      </c>
      <c r="J25" s="355">
        <f ca="1">IF(D17="Asset Play", 'FCFF Model'!G19, H14/(H25+C16+1))</f>
        <v>15.745281418209391</v>
      </c>
    </row>
    <row r="26" spans="1:10" ht="15.75" customHeight="1" x14ac:dyDescent="0.3">
      <c r="B26" s="23" t="s">
        <v>33</v>
      </c>
      <c r="C26" s="398"/>
      <c r="D26" s="399"/>
      <c r="E26" s="434" t="str">
        <f>IF(C26="","","Action_Planning")</f>
        <v/>
      </c>
      <c r="F26" s="435"/>
      <c r="G26" s="435"/>
      <c r="H26" s="436"/>
      <c r="I26" s="415" t="s">
        <v>34</v>
      </c>
      <c r="J26" s="415"/>
    </row>
    <row r="27" spans="1:10" ht="15.75" customHeight="1" x14ac:dyDescent="0.3">
      <c r="B27" s="23" t="s">
        <v>35</v>
      </c>
      <c r="C27" s="424">
        <f>C31/D25</f>
        <v>5.5E-2</v>
      </c>
      <c r="D27" s="379"/>
      <c r="E27" s="423">
        <f>E31/D25</f>
        <v>0.1</v>
      </c>
      <c r="F27" s="379"/>
      <c r="G27" s="432">
        <f>G31/D25</f>
        <v>0</v>
      </c>
      <c r="H27" s="433"/>
      <c r="I27" s="431">
        <f>C27+E27+G27</f>
        <v>0.155</v>
      </c>
      <c r="J27" s="431"/>
    </row>
    <row r="28" spans="1:10" ht="15.75" customHeight="1" x14ac:dyDescent="0.3">
      <c r="B28" s="23" t="s">
        <v>36</v>
      </c>
      <c r="C28" s="380">
        <v>2000</v>
      </c>
      <c r="D28" s="381"/>
      <c r="E28" s="380">
        <v>4000</v>
      </c>
      <c r="F28" s="381"/>
      <c r="G28" s="389"/>
      <c r="H28" s="390"/>
      <c r="I28" s="369">
        <f>C28+E28+G28</f>
        <v>6000</v>
      </c>
      <c r="J28" s="369"/>
    </row>
    <row r="29" spans="1:10" ht="15.75" customHeight="1" x14ac:dyDescent="0.3">
      <c r="B29" s="23" t="s">
        <v>37</v>
      </c>
      <c r="C29" s="382">
        <v>16.5</v>
      </c>
      <c r="D29" s="381"/>
      <c r="E29" s="382">
        <v>15</v>
      </c>
      <c r="F29" s="381"/>
      <c r="G29" s="383"/>
      <c r="H29" s="384"/>
      <c r="I29" s="391"/>
      <c r="J29" s="391"/>
    </row>
    <row r="30" spans="1:10" ht="15.75" customHeight="1" x14ac:dyDescent="0.3">
      <c r="B30" s="23" t="s">
        <v>38</v>
      </c>
      <c r="C30" s="367">
        <f>C29*$I$5/1000000</f>
        <v>130567.859235</v>
      </c>
      <c r="D30" s="374"/>
      <c r="E30" s="367">
        <f>E29*$I$5/1000000</f>
        <v>118698.05385</v>
      </c>
      <c r="F30" s="374"/>
      <c r="G30" s="385">
        <f>G29*$I$5/1000000</f>
        <v>0</v>
      </c>
      <c r="H30" s="386"/>
      <c r="I30" s="392"/>
      <c r="J30" s="392"/>
    </row>
    <row r="31" spans="1:10" ht="15.75" customHeight="1" x14ac:dyDescent="0.3">
      <c r="B31" s="2" t="s">
        <v>39</v>
      </c>
      <c r="C31" s="375">
        <f>C28*C29</f>
        <v>33000</v>
      </c>
      <c r="D31" s="376"/>
      <c r="E31" s="368">
        <f>E28*E29</f>
        <v>60000</v>
      </c>
      <c r="F31" s="377"/>
      <c r="G31" s="387">
        <f>G28*G29</f>
        <v>0</v>
      </c>
      <c r="H31" s="388"/>
      <c r="I31" s="368">
        <f>C31+E31+G31</f>
        <v>93000</v>
      </c>
      <c r="J31" s="368"/>
    </row>
    <row r="32" spans="1:10" ht="15.75" customHeight="1" x14ac:dyDescent="0.3">
      <c r="B32" s="1" t="s">
        <v>40</v>
      </c>
      <c r="C32" s="370"/>
      <c r="D32" s="371"/>
      <c r="E32" s="378">
        <f>IF(C31=0,"-",(C31+E31)/(C28+E28))</f>
        <v>15.5</v>
      </c>
      <c r="F32" s="379"/>
      <c r="G32" s="117"/>
      <c r="H32" s="117"/>
      <c r="I32" s="378">
        <f>IF(I31=0,"",I31/I28)</f>
        <v>15.5</v>
      </c>
      <c r="J32" s="378"/>
    </row>
    <row r="33" spans="2:11" ht="15.75" customHeight="1" x14ac:dyDescent="0.3">
      <c r="B33" s="1" t="s">
        <v>41</v>
      </c>
      <c r="C33" s="372"/>
      <c r="D33" s="373"/>
      <c r="E33" s="367">
        <f>IF(E32="-","-",E32*$I$5/1000000)</f>
        <v>122654.65564500001</v>
      </c>
      <c r="F33" s="374"/>
      <c r="G33" s="118"/>
      <c r="H33" s="118"/>
      <c r="I33" s="367">
        <f>IF(I32="","",I32*$I$5/1000000)</f>
        <v>122654.65564500001</v>
      </c>
      <c r="J33" s="367"/>
    </row>
    <row r="34" spans="2:11" ht="15.75" customHeight="1" x14ac:dyDescent="0.3"/>
    <row r="35" spans="2:11" ht="15.75" customHeight="1" x14ac:dyDescent="0.3">
      <c r="B35" s="146" t="s">
        <v>319</v>
      </c>
      <c r="C35" s="437">
        <v>15</v>
      </c>
      <c r="D35" s="438"/>
      <c r="G35" s="440" t="s">
        <v>321</v>
      </c>
      <c r="H35" s="441"/>
      <c r="I35" s="437">
        <f ca="1">F14</f>
        <v>27.059421720758852</v>
      </c>
      <c r="J35" s="438"/>
    </row>
    <row r="36" spans="2:11" ht="15.75" customHeight="1" x14ac:dyDescent="0.3">
      <c r="B36" s="146" t="s">
        <v>320</v>
      </c>
      <c r="C36" s="380">
        <f>E28</f>
        <v>4000</v>
      </c>
      <c r="D36" s="439"/>
      <c r="G36" s="442" t="s">
        <v>331</v>
      </c>
      <c r="H36" s="442"/>
      <c r="I36" s="443">
        <f>IF(C26="",0,I35/C29-1)</f>
        <v>0</v>
      </c>
      <c r="J36" s="444"/>
    </row>
    <row r="37" spans="2:11" ht="15.75" customHeight="1" x14ac:dyDescent="0.3"/>
    <row r="38" spans="2:11" ht="15.75" customHeight="1" x14ac:dyDescent="0.3">
      <c r="B38" s="21" t="s">
        <v>332</v>
      </c>
      <c r="G38" s="347" t="s">
        <v>136</v>
      </c>
      <c r="H38" s="133"/>
      <c r="I38" s="133"/>
      <c r="J38" s="133"/>
      <c r="K38" s="357"/>
    </row>
    <row r="39" spans="2:11" ht="15.75" customHeight="1" x14ac:dyDescent="0.3">
      <c r="B39" s="3" t="s">
        <v>335</v>
      </c>
      <c r="F39" s="214">
        <f>'Qualitative Analysis'!E8</f>
        <v>0.6</v>
      </c>
      <c r="G39" s="365"/>
      <c r="H39" s="116"/>
      <c r="I39" s="116"/>
      <c r="J39" s="116"/>
    </row>
    <row r="40" spans="2:11" ht="15.75" customHeight="1" x14ac:dyDescent="0.3">
      <c r="B40" s="3" t="s">
        <v>334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 x14ac:dyDescent="0.3">
      <c r="B41" s="3" t="s">
        <v>342</v>
      </c>
      <c r="E41" s="359"/>
      <c r="F41" s="362">
        <f>'Qualitative Analysis'!E64</f>
        <v>0.62807823129251705</v>
      </c>
      <c r="G41" s="365" t="s">
        <v>333</v>
      </c>
      <c r="H41" s="116"/>
      <c r="I41" s="116"/>
      <c r="J41" s="116"/>
    </row>
    <row r="42" spans="2:11" ht="15.75" customHeight="1" x14ac:dyDescent="0.3">
      <c r="B42" s="3" t="s">
        <v>345</v>
      </c>
      <c r="E42" s="359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336</v>
      </c>
      <c r="H42" s="74"/>
      <c r="I42" s="74"/>
      <c r="J42" s="74"/>
    </row>
    <row r="43" spans="2:11" ht="15.75" customHeight="1" x14ac:dyDescent="0.3">
      <c r="B43" s="3" t="s">
        <v>346</v>
      </c>
      <c r="F43" s="366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337</v>
      </c>
      <c r="F45" s="362">
        <f ca="1">I35/C29-1</f>
        <v>0.63996495277326382</v>
      </c>
    </row>
    <row r="46" spans="2:11" ht="15.75" customHeight="1" x14ac:dyDescent="0.3">
      <c r="B46" s="3" t="s">
        <v>338</v>
      </c>
      <c r="F46" s="362">
        <f ca="1">D14/C29-1</f>
        <v>-0.5622787461175982</v>
      </c>
    </row>
    <row r="47" spans="2:11" ht="15.75" customHeight="1" x14ac:dyDescent="0.3"/>
    <row r="48" spans="2:11" ht="15.75" customHeight="1" x14ac:dyDescent="0.3">
      <c r="B48" s="3" t="s">
        <v>341</v>
      </c>
      <c r="F48" s="214">
        <f ca="1">IF(F45&lt;=0,0,AVERAGE(F39:F41,1-F43,E42))</f>
        <v>0.66561564625850345</v>
      </c>
      <c r="G48" s="74"/>
    </row>
    <row r="49" spans="2:8" ht="15.75" customHeight="1" x14ac:dyDescent="0.3">
      <c r="B49" s="3" t="s">
        <v>339</v>
      </c>
      <c r="E49" s="364">
        <f ca="1">F45/ABS(F46)</f>
        <v>1.1381631569609745</v>
      </c>
      <c r="F49" s="361">
        <f ca="1">IF(F46&gt;=0,100,F45/ABS(F46))</f>
        <v>1.1381631569609745</v>
      </c>
      <c r="G49" s="74"/>
    </row>
    <row r="50" spans="2:8" ht="15.75" customHeight="1" x14ac:dyDescent="0.3">
      <c r="B50" s="3" t="s">
        <v>340</v>
      </c>
      <c r="E50" s="107">
        <f ca="1">MAX(F48-ABS((1-F48)/F49),0)/2</f>
        <v>0.18591132955695014</v>
      </c>
      <c r="F50" s="360">
        <f ca="1">MIN(E50,H50)</f>
        <v>0.18591132955695014</v>
      </c>
      <c r="G50" s="363" t="s">
        <v>343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8" sqref="C18:E1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293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294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1369375.2100000009</v>
      </c>
      <c r="E6" s="14">
        <f>1-D6/D3</f>
        <v>0.95271726446019345</v>
      </c>
      <c r="F6" s="6"/>
      <c r="G6" s="6"/>
      <c r="H6" s="3" t="s">
        <v>322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323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324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325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329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298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299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326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330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327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45">
        <f>D53+D54+D55</f>
        <v>8694432</v>
      </c>
      <c r="E52" s="446"/>
      <c r="F52" s="53"/>
      <c r="G52" s="53"/>
    </row>
    <row r="53" spans="2:9" ht="14.5" thickTop="1" x14ac:dyDescent="0.3">
      <c r="B53" s="58" t="s">
        <v>231</v>
      </c>
      <c r="C53" s="6"/>
      <c r="D53" s="448">
        <f>SUM(I11:I13)+SUM(I28:I30)</f>
        <v>8694432</v>
      </c>
      <c r="E53" s="376"/>
      <c r="F53" s="5"/>
      <c r="G53" s="5"/>
      <c r="H53" s="3" t="s">
        <v>328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53">
        <v>0</v>
      </c>
      <c r="E54" s="381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3">
        <v>0</v>
      </c>
      <c r="E55" s="381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47"/>
      <c r="E57" s="447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51">
        <f>((Dashboard!I6*Data!C4)+D52+E50-C58-C59)</f>
        <v>128260855.23500001</v>
      </c>
      <c r="E60" s="452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43">
        <f>((C26-C11-C12-C14-C15-C16*G16-C19*G19-C20*G20)-I26)/Data!C7</f>
        <v>-0.64687443506582265</v>
      </c>
      <c r="E63" s="444"/>
    </row>
    <row r="64" spans="2:9" ht="15" customHeight="1" x14ac:dyDescent="0.3">
      <c r="B64" s="3" t="s">
        <v>262</v>
      </c>
      <c r="D64" s="449">
        <v>6.3399999999999998E-2</v>
      </c>
      <c r="E64" s="450"/>
      <c r="F64" s="266" t="s">
        <v>247</v>
      </c>
    </row>
    <row r="65" spans="2:5" ht="15" customHeight="1" x14ac:dyDescent="0.3">
      <c r="B65" s="292" t="s">
        <v>264</v>
      </c>
      <c r="D65" s="449">
        <f>D63</f>
        <v>-0.64687443506582265</v>
      </c>
      <c r="E65" s="450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306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307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301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3" zoomScaleNormal="100" zoomScalePageLayoutView="80" workbookViewId="0">
      <selection activeCell="E30" sqref="E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273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274</v>
      </c>
      <c r="C12" s="236">
        <v>0</v>
      </c>
      <c r="D12" s="236">
        <v>0</v>
      </c>
      <c r="E12" s="346"/>
      <c r="F12" s="346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297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(G18+MIN(D4,0))*Data!C$4/Dashboard!I5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56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56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60" t="s">
        <v>226</v>
      </c>
      <c r="F23" s="460"/>
      <c r="G23" s="46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295</v>
      </c>
      <c r="C25" s="14">
        <f>1/D25</f>
        <v>0.05</v>
      </c>
      <c r="D25" s="298">
        <v>20</v>
      </c>
      <c r="E25" s="206">
        <f ca="1">G9*D25/G14</f>
        <v>1.6233560592885623</v>
      </c>
      <c r="F25" s="457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296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58"/>
      <c r="G26" s="352">
        <f ca="1">$F$25+E26+$G$19</f>
        <v>3.447397142838577</v>
      </c>
      <c r="I26" s="74" t="s">
        <v>310</v>
      </c>
    </row>
    <row r="27" spans="1:9" ht="15.75" customHeight="1" x14ac:dyDescent="0.3">
      <c r="B27" s="302" t="s">
        <v>308</v>
      </c>
      <c r="C27" s="303">
        <f t="shared" ref="C27" si="0">1/D27</f>
        <v>1.8181818181818181E-2</v>
      </c>
      <c r="D27" s="315">
        <v>55</v>
      </c>
      <c r="E27" s="207">
        <f ca="1">G9*D27/G14</f>
        <v>4.4642291630435462</v>
      </c>
      <c r="F27" s="459"/>
      <c r="G27" s="207">
        <f ca="1">$F$25+E27+$G$19</f>
        <v>4.2590751724828584</v>
      </c>
      <c r="I27" s="74" t="s">
        <v>309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84">
        <f>Asset_Model!D7+IF(D8&lt;0,D8,0)</f>
        <v>1.3583050519827629</v>
      </c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MAX(G26*Exchange_Rate, G19*Exchange_Rate)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4" t="s">
        <v>148</v>
      </c>
      <c r="D32" s="455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37.573776809160464</v>
      </c>
      <c r="D34" s="208" t="str">
        <f>D33</f>
        <v>HKD</v>
      </c>
      <c r="E34" s="120">
        <f ca="1">(C34-G19)/C9</f>
        <v>836.7643349081975</v>
      </c>
      <c r="F34" s="158">
        <f ca="1">C34/(Data!C28*Exchange_Rate*Data!C4/Common_Shares)</f>
        <v>1.4891024990025841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9" zoomScaleNormal="100" workbookViewId="0">
      <selection activeCell="B64" sqref="B6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278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311</v>
      </c>
    </row>
    <row r="4" spans="1:7" ht="14" x14ac:dyDescent="0.3">
      <c r="B4" s="6" t="s">
        <v>280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275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276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277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279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300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313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314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315</v>
      </c>
    </row>
    <row r="26" spans="2:7" ht="15" customHeight="1" x14ac:dyDescent="0.3">
      <c r="B26" s="53" t="s">
        <v>281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282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283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284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285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302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286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287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288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289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316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290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291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292</v>
      </c>
      <c r="D54" s="104">
        <f t="array" ref="D54">(1-INDEX(B68:E77,MATCH(E54,B68:B77,0),4))*4</f>
        <v>3.1020408163265305</v>
      </c>
      <c r="E54" s="31" t="s">
        <v>270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271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2023-03-23T07:32:50Z</dcterms:modified>
  <cp:category/>
  <cp:contentStatus/>
</cp:coreProperties>
</file>