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06905DB-BAB4-44B4-99BA-010A9CC752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7" i="7" l="1"/>
  <c r="E9" i="7" s="1"/>
  <c r="G9" i="7" s="1"/>
  <c r="E6" i="7"/>
  <c r="E5" i="7"/>
  <c r="E4" i="7"/>
  <c r="C15" i="7"/>
  <c r="D11" i="4"/>
  <c r="F40" i="1"/>
  <c r="E26" i="1"/>
  <c r="C12" i="1"/>
  <c r="E7" i="3"/>
  <c r="C36" i="1"/>
  <c r="C35" i="1"/>
  <c r="E6" i="1"/>
  <c r="C11" i="4"/>
  <c r="E6" i="4"/>
  <c r="C9" i="7"/>
  <c r="D5" i="7" s="1"/>
  <c r="D7" i="7" l="1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D14" i="1" s="1"/>
  <c r="F46" i="1" s="1"/>
  <c r="C33" i="4" l="1"/>
  <c r="H14" i="1" s="1"/>
  <c r="J25" i="1" s="1"/>
  <c r="D30" i="4"/>
  <c r="F14" i="1"/>
  <c r="I35" i="1" s="1"/>
  <c r="I36" i="1" l="1"/>
  <c r="F45" i="1"/>
  <c r="F33" i="4"/>
  <c r="E33" i="4"/>
  <c r="B17" i="1"/>
  <c r="J17" i="1" s="1"/>
  <c r="D16" i="1"/>
  <c r="D18" i="1"/>
  <c r="F42" i="1" l="1"/>
  <c r="E42" i="1" s="1"/>
  <c r="F48" i="1" s="1"/>
  <c r="F49" i="1"/>
  <c r="E49" i="1"/>
  <c r="D17" i="1"/>
  <c r="F17" i="1"/>
  <c r="E50" i="1" l="1"/>
  <c r="F50" i="1" s="1"/>
</calcChain>
</file>

<file path=xl/sharedStrings.xml><?xml version="1.0" encoding="utf-8"?>
<sst xmlns="http://schemas.openxmlformats.org/spreadsheetml/2006/main" count="417" uniqueCount="353">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</sst>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F47" sqref="F4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313</v>
      </c>
      <c r="D3" s="388"/>
      <c r="E3" s="15"/>
      <c r="G3" s="7" t="s">
        <v>2</v>
      </c>
      <c r="I3" s="397" t="s">
        <v>3</v>
      </c>
      <c r="J3" s="398"/>
    </row>
    <row r="4" spans="1:12" ht="15.75" customHeight="1" x14ac:dyDescent="0.3">
      <c r="B4" s="5" t="s">
        <v>4</v>
      </c>
      <c r="C4" s="389" t="s">
        <v>314</v>
      </c>
      <c r="D4" s="390"/>
      <c r="E4" s="6"/>
      <c r="G4" s="5" t="s">
        <v>5</v>
      </c>
      <c r="I4" s="32">
        <v>11.96</v>
      </c>
      <c r="J4" s="33" t="s">
        <v>6</v>
      </c>
      <c r="K4" s="152"/>
    </row>
    <row r="5" spans="1:12" ht="15.75" customHeight="1" x14ac:dyDescent="0.3">
      <c r="B5" s="5" t="s">
        <v>7</v>
      </c>
      <c r="C5" s="391">
        <v>44959</v>
      </c>
      <c r="D5" s="390"/>
      <c r="E5" s="122" t="str">
        <f ca="1">IF(C5+30&gt;=TODAY(),"Patience Premium","")</f>
        <v/>
      </c>
      <c r="G5" s="5" t="s">
        <v>8</v>
      </c>
      <c r="I5" s="399">
        <v>690959695</v>
      </c>
      <c r="J5" s="400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1">
        <f>I4*I5/1000000</f>
        <v>8263.8779522000004</v>
      </c>
      <c r="J6" s="402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25.04524197685766</v>
      </c>
      <c r="J9" s="48">
        <f>IF(I9="NNI","NNI",1/I9)</f>
        <v>3.9927743597926557E-2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0.41232418221245931</v>
      </c>
      <c r="J10" s="130">
        <f>IF(Asset_Model!D60/'FCFF Model'!C4&lt;0,"Negative EV",Asset_Model!D60/'FCFF Model'!C4)</f>
        <v>7.1605080510103445</v>
      </c>
    </row>
    <row r="11" spans="1:12" ht="15.75" customHeight="1" thickBot="1" x14ac:dyDescent="0.35">
      <c r="B11" s="313" t="s">
        <v>273</v>
      </c>
      <c r="C11" s="411">
        <f ca="1">C12-D10</f>
        <v>5.1000000000000004E-2</v>
      </c>
      <c r="D11" s="412"/>
      <c r="E11" s="13"/>
      <c r="G11" s="5" t="s">
        <v>15</v>
      </c>
      <c r="H11" s="6"/>
      <c r="I11" s="409" t="s">
        <v>6</v>
      </c>
      <c r="J11" s="410"/>
    </row>
    <row r="12" spans="1:12" ht="15.75" customHeight="1" thickTop="1" x14ac:dyDescent="0.3">
      <c r="B12" s="314" t="s">
        <v>146</v>
      </c>
      <c r="C12" s="365">
        <f ca="1">IF(C10="US",6%,8%)*IF($C$5+30&gt;=TODAY(),1.2,1)</f>
        <v>0.08</v>
      </c>
      <c r="D12" s="366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10.560676235026312</v>
      </c>
      <c r="E14" s="127" t="s">
        <v>230</v>
      </c>
      <c r="F14" s="184">
        <f ca="1">MAX('FCFF Model'!C30,'FCFF Model'!E30)</f>
        <v>13.106941291608036</v>
      </c>
      <c r="G14" s="185" t="s">
        <v>24</v>
      </c>
      <c r="H14" s="193">
        <f ca="1">IF('FCFF Model'!C33&lt;0, "Error", 'FCFF Model'!C33)</f>
        <v>12.191758201373373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11.96</v>
      </c>
      <c r="C16" s="375">
        <v>0.1</v>
      </c>
      <c r="D16" s="159">
        <f ca="1">H14/B16-1-C16</f>
        <v>-8.0622223965437195E-2</v>
      </c>
      <c r="E16" s="370">
        <f>'FCFF Model'!D11*Exchange_Rate</f>
        <v>0.5</v>
      </c>
      <c r="F16" s="161">
        <f>E16/B16</f>
        <v>4.1806020066889632E-2</v>
      </c>
      <c r="G16" s="378" t="s">
        <v>25</v>
      </c>
      <c r="H16" s="403">
        <f>('FCFF Model'!G19)*Exchange_Rate</f>
        <v>7.5118325099990093</v>
      </c>
      <c r="I16" s="378" t="s">
        <v>26</v>
      </c>
      <c r="J16" s="206">
        <f>B16-$H$16</f>
        <v>4.4481674900009915</v>
      </c>
    </row>
    <row r="17" spans="1:10" ht="15.75" customHeight="1" x14ac:dyDescent="0.3">
      <c r="B17" s="290">
        <f ca="1">H14/(1+C16)</f>
        <v>11.083416546703065</v>
      </c>
      <c r="C17" s="376"/>
      <c r="D17" s="289">
        <f ca="1">H14/B17-1-C16</f>
        <v>0</v>
      </c>
      <c r="E17" s="371"/>
      <c r="F17" s="162">
        <f ca="1">E16/B17</f>
        <v>4.51124432518719E-2</v>
      </c>
      <c r="G17" s="379"/>
      <c r="H17" s="404"/>
      <c r="I17" s="379"/>
      <c r="J17" s="205">
        <f ca="1">B17-$H$16</f>
        <v>3.5715840367040554</v>
      </c>
    </row>
    <row r="18" spans="1:10" ht="15.75" customHeight="1" x14ac:dyDescent="0.3">
      <c r="B18" s="354">
        <v>11.08</v>
      </c>
      <c r="C18" s="377"/>
      <c r="D18" s="160">
        <f ca="1">H14/B18-1-C16</f>
        <v>3.3918784958250625E-4</v>
      </c>
      <c r="E18" s="372"/>
      <c r="F18" s="163">
        <f>E16/B18</f>
        <v>4.5126353790613721E-2</v>
      </c>
      <c r="G18" s="380"/>
      <c r="H18" s="405"/>
      <c r="I18" s="380"/>
      <c r="J18" s="207">
        <f>B18-$H$16</f>
        <v>3.5681674900009908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4"/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4" t="s">
        <v>29</v>
      </c>
      <c r="C22" s="407"/>
      <c r="D22" s="408"/>
      <c r="E22" s="408"/>
      <c r="F22" s="408"/>
      <c r="G22" s="407"/>
      <c r="H22" s="407"/>
      <c r="I22" s="408"/>
      <c r="J22" s="408"/>
    </row>
    <row r="23" spans="1:10" ht="52.5" customHeight="1" x14ac:dyDescent="0.3">
      <c r="A23" s="6"/>
      <c r="B23" s="25" t="s">
        <v>30</v>
      </c>
      <c r="C23" s="373"/>
      <c r="D23" s="374"/>
      <c r="E23" s="374"/>
      <c r="F23" s="374"/>
      <c r="G23" s="373"/>
      <c r="H23" s="373"/>
      <c r="I23" s="374"/>
      <c r="J23" s="37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9.7534065610986982</v>
      </c>
    </row>
    <row r="26" spans="1:10" ht="15.75" customHeight="1" x14ac:dyDescent="0.3">
      <c r="B26" s="23" t="s">
        <v>33</v>
      </c>
      <c r="C26" s="392">
        <v>44988</v>
      </c>
      <c r="D26" s="393"/>
      <c r="E26" s="384" t="str">
        <f>IF(C26="","","Action_Planning")</f>
        <v>Action_Planning</v>
      </c>
      <c r="F26" s="385"/>
      <c r="G26" s="385"/>
      <c r="H26" s="386"/>
      <c r="I26" s="406" t="s">
        <v>34</v>
      </c>
      <c r="J26" s="406"/>
    </row>
    <row r="27" spans="1:10" ht="15.75" customHeight="1" x14ac:dyDescent="0.3">
      <c r="B27" s="23" t="s">
        <v>35</v>
      </c>
      <c r="C27" s="369">
        <f>C31/D25</f>
        <v>5.9499999999999997E-2</v>
      </c>
      <c r="D27" s="368"/>
      <c r="E27" s="367">
        <f>E31/D25</f>
        <v>5.5399999999999998E-2</v>
      </c>
      <c r="F27" s="368"/>
      <c r="G27" s="382">
        <f>G31/D25</f>
        <v>0</v>
      </c>
      <c r="H27" s="383"/>
      <c r="I27" s="381">
        <f>C27+E27+G27</f>
        <v>0.1149</v>
      </c>
      <c r="J27" s="381"/>
    </row>
    <row r="28" spans="1:10" ht="15.75" customHeight="1" x14ac:dyDescent="0.3">
      <c r="B28" s="23" t="s">
        <v>36</v>
      </c>
      <c r="C28" s="417">
        <v>3000</v>
      </c>
      <c r="D28" s="408"/>
      <c r="E28" s="417">
        <v>3000</v>
      </c>
      <c r="F28" s="408"/>
      <c r="G28" s="399"/>
      <c r="H28" s="400"/>
      <c r="I28" s="416">
        <f>C28+E28+G28</f>
        <v>6000</v>
      </c>
      <c r="J28" s="416"/>
    </row>
    <row r="29" spans="1:10" ht="15.75" customHeight="1" x14ac:dyDescent="0.3">
      <c r="B29" s="23" t="s">
        <v>37</v>
      </c>
      <c r="C29" s="418">
        <v>11.9</v>
      </c>
      <c r="D29" s="408"/>
      <c r="E29" s="418">
        <v>11.08</v>
      </c>
      <c r="F29" s="408"/>
      <c r="G29" s="428"/>
      <c r="H29" s="429"/>
      <c r="I29" s="413"/>
      <c r="J29" s="413"/>
    </row>
    <row r="30" spans="1:10" ht="15.75" customHeight="1" x14ac:dyDescent="0.3">
      <c r="B30" s="23" t="s">
        <v>38</v>
      </c>
      <c r="C30" s="419">
        <f>C29*$I$5/1000000</f>
        <v>8222.4203705</v>
      </c>
      <c r="D30" s="420"/>
      <c r="E30" s="419">
        <f>E29*$I$5/1000000</f>
        <v>7655.8334206</v>
      </c>
      <c r="F30" s="420"/>
      <c r="G30" s="436">
        <f>G29*$I$5/1000000</f>
        <v>0</v>
      </c>
      <c r="H30" s="437"/>
      <c r="I30" s="414"/>
      <c r="J30" s="414"/>
    </row>
    <row r="31" spans="1:10" ht="15.75" customHeight="1" x14ac:dyDescent="0.3">
      <c r="B31" s="2" t="s">
        <v>39</v>
      </c>
      <c r="C31" s="423">
        <f>C28*C29</f>
        <v>35700</v>
      </c>
      <c r="D31" s="424"/>
      <c r="E31" s="415">
        <f>E28*E29</f>
        <v>33240</v>
      </c>
      <c r="F31" s="425"/>
      <c r="G31" s="438">
        <f>G28*G29</f>
        <v>0</v>
      </c>
      <c r="H31" s="439"/>
      <c r="I31" s="415">
        <f>C31+E31+G31</f>
        <v>68940</v>
      </c>
      <c r="J31" s="415"/>
    </row>
    <row r="32" spans="1:10" ht="15.75" customHeight="1" x14ac:dyDescent="0.3">
      <c r="B32" s="1" t="s">
        <v>40</v>
      </c>
      <c r="C32" s="421"/>
      <c r="D32" s="422"/>
      <c r="E32" s="426">
        <f>IF(C31=0,"-",(C31+E31)/(C28+E28))</f>
        <v>11.49</v>
      </c>
      <c r="F32" s="368"/>
      <c r="G32" s="117"/>
      <c r="H32" s="117"/>
      <c r="I32" s="426">
        <f>IF(I31=0,"",I31/I28)</f>
        <v>11.49</v>
      </c>
      <c r="J32" s="426"/>
    </row>
    <row r="33" spans="2:10" ht="15.75" customHeight="1" x14ac:dyDescent="0.3">
      <c r="B33" s="1" t="s">
        <v>41</v>
      </c>
      <c r="C33" s="434"/>
      <c r="D33" s="435"/>
      <c r="E33" s="419">
        <f>IF(E32="-","-",E32*$I$5/1000000)</f>
        <v>7939.12689555</v>
      </c>
      <c r="F33" s="420"/>
      <c r="G33" s="118"/>
      <c r="H33" s="118"/>
      <c r="I33" s="419">
        <f>IF(I32="","",I32*$I$5/1000000)</f>
        <v>7939.12689555</v>
      </c>
      <c r="J33" s="419"/>
    </row>
    <row r="34" spans="2:10" ht="15.75" customHeight="1" x14ac:dyDescent="0.3"/>
    <row r="35" spans="2:10" ht="15.75" customHeight="1" x14ac:dyDescent="0.3">
      <c r="B35" s="146" t="s">
        <v>326</v>
      </c>
      <c r="C35" s="430">
        <f>E29</f>
        <v>11.08</v>
      </c>
      <c r="D35" s="431"/>
      <c r="G35" s="432" t="s">
        <v>327</v>
      </c>
      <c r="H35" s="433"/>
      <c r="I35" s="430">
        <f ca="1">F14</f>
        <v>13.106941291608036</v>
      </c>
      <c r="J35" s="431"/>
    </row>
    <row r="36" spans="2:10" ht="15.75" customHeight="1" x14ac:dyDescent="0.3">
      <c r="B36" s="146" t="s">
        <v>328</v>
      </c>
      <c r="C36" s="417">
        <f>E28</f>
        <v>3000</v>
      </c>
      <c r="D36" s="427"/>
      <c r="G36" s="440" t="s">
        <v>338</v>
      </c>
      <c r="H36" s="440"/>
      <c r="I36" s="441">
        <f ca="1">IF(C26="",0,I35/C29-1)</f>
        <v>0.10142363795025511</v>
      </c>
      <c r="J36" s="442"/>
    </row>
    <row r="37" spans="2:10" ht="15.75" customHeight="1" x14ac:dyDescent="0.3"/>
    <row r="38" spans="2:10" ht="15.75" customHeight="1" x14ac:dyDescent="0.3">
      <c r="B38" s="21" t="s">
        <v>339</v>
      </c>
      <c r="G38" s="347" t="s">
        <v>137</v>
      </c>
      <c r="H38" s="133"/>
      <c r="I38" s="133"/>
      <c r="J38" s="133"/>
    </row>
    <row r="39" spans="2:10" ht="15.75" customHeight="1" x14ac:dyDescent="0.3">
      <c r="B39" s="3" t="s">
        <v>340</v>
      </c>
      <c r="F39" s="214">
        <f>'Qualitative Analysis'!E8</f>
        <v>0.6</v>
      </c>
      <c r="G39" s="357"/>
      <c r="H39" s="116"/>
      <c r="I39" s="116"/>
      <c r="J39" s="116"/>
    </row>
    <row r="40" spans="2:10" ht="15.75" customHeight="1" x14ac:dyDescent="0.3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342</v>
      </c>
      <c r="E41" s="358"/>
      <c r="F41" s="359">
        <f>'Qualitative Analysis'!E64</f>
        <v>0.64057823129251701</v>
      </c>
      <c r="G41" s="357" t="s">
        <v>343</v>
      </c>
      <c r="H41" s="116"/>
      <c r="I41" s="116"/>
      <c r="J41" s="116"/>
    </row>
    <row r="42" spans="2:10" ht="15.75" customHeight="1" x14ac:dyDescent="0.3">
      <c r="B42" s="3" t="s">
        <v>351</v>
      </c>
      <c r="E42" s="358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3">
      <c r="B43" s="3" t="s">
        <v>352</v>
      </c>
      <c r="F43" s="360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345</v>
      </c>
      <c r="F45" s="359">
        <f ca="1">I35/C29-1</f>
        <v>0.10142363795025511</v>
      </c>
    </row>
    <row r="46" spans="2:10" ht="15.75" customHeight="1" x14ac:dyDescent="0.3">
      <c r="B46" s="3" t="s">
        <v>346</v>
      </c>
      <c r="F46" s="359">
        <f ca="1">D14/C29-1</f>
        <v>-0.1125482155440074</v>
      </c>
    </row>
    <row r="47" spans="2:10" ht="15.75" customHeight="1" x14ac:dyDescent="0.3"/>
    <row r="48" spans="2:10" ht="15.75" customHeight="1" x14ac:dyDescent="0.3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3">
      <c r="B49" s="3" t="s">
        <v>348</v>
      </c>
      <c r="E49" s="361">
        <f ca="1">F45/ABS(F46)</f>
        <v>0.90115722812679799</v>
      </c>
      <c r="F49" s="362">
        <f ca="1">IF(F46&gt;=0,100,F45/ABS(F46))</f>
        <v>0.90115722812679799</v>
      </c>
      <c r="G49" s="74"/>
    </row>
    <row r="50" spans="2:8" ht="15.75" customHeight="1" x14ac:dyDescent="0.3">
      <c r="B50" s="3" t="s">
        <v>349</v>
      </c>
      <c r="E50" s="107">
        <f ca="1">MAX(F48-ABS((1-F48)/F49),0)/2</f>
        <v>6.5527029120272029E-2</v>
      </c>
      <c r="F50" s="363">
        <f ca="1">MIN(E50,H50)</f>
        <v>6.5527029120272029E-2</v>
      </c>
      <c r="G50" s="364" t="s">
        <v>350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35" sqref="C35: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40" sqref="E4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20121092</v>
      </c>
      <c r="E3" s="156" t="str">
        <f>IF((C46-I46)=D3,"", "Error!")</f>
        <v/>
      </c>
      <c r="F3" s="6"/>
      <c r="G3" s="6"/>
      <c r="H3" s="275" t="s">
        <v>256</v>
      </c>
      <c r="I3" s="276">
        <v>19966164</v>
      </c>
      <c r="K3" s="74"/>
    </row>
    <row r="4" spans="1:11" ht="15" customHeight="1" x14ac:dyDescent="0.3">
      <c r="B4" s="5" t="s">
        <v>222</v>
      </c>
      <c r="C4" s="6"/>
      <c r="D4" s="277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3">
      <c r="A9" s="4"/>
      <c r="B9" s="268" t="s">
        <v>251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4" x14ac:dyDescent="0.3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43">
        <f>D53+D54+D55</f>
        <v>99060</v>
      </c>
      <c r="E52" s="444"/>
      <c r="F52" s="53"/>
      <c r="G52" s="53"/>
    </row>
    <row r="53" spans="2:9" ht="14.5" thickTop="1" x14ac:dyDescent="0.3">
      <c r="B53" s="58" t="s">
        <v>232</v>
      </c>
      <c r="C53" s="6"/>
      <c r="D53" s="446">
        <f>SUM(I11:I13)+SUM(I28:I30)</f>
        <v>99060</v>
      </c>
      <c r="E53" s="424"/>
      <c r="F53" s="5"/>
      <c r="G53" s="5"/>
      <c r="H53" s="3" t="s">
        <v>337</v>
      </c>
      <c r="I53" s="14">
        <f>D53/I3</f>
        <v>4.9613936858377006E-3</v>
      </c>
    </row>
    <row r="54" spans="2:9" ht="14" x14ac:dyDescent="0.3">
      <c r="B54" s="58" t="s">
        <v>132</v>
      </c>
      <c r="C54" s="6"/>
      <c r="D54" s="451">
        <v>0</v>
      </c>
      <c r="E54" s="408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51">
        <v>0</v>
      </c>
      <c r="E55" s="408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45"/>
      <c r="E57" s="445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4" x14ac:dyDescent="0.3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4" x14ac:dyDescent="0.3">
      <c r="B60" s="53" t="s">
        <v>136</v>
      </c>
      <c r="C60" s="6"/>
      <c r="D60" s="449">
        <f>((Dashboard!I6*Data!C4)+D52+E50-C58-C59)</f>
        <v>3044285.9521999992</v>
      </c>
      <c r="E60" s="45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441">
        <f>((C26-C11-C12-C14-C15-C16*G16-C19*G19-C20*G20)-I26)/Data!C7</f>
        <v>-0.23219181652332552</v>
      </c>
      <c r="E63" s="442"/>
    </row>
    <row r="64" spans="2:9" ht="15" customHeight="1" x14ac:dyDescent="0.3">
      <c r="B64" s="3" t="s">
        <v>263</v>
      </c>
      <c r="D64" s="447">
        <v>7.51E-2</v>
      </c>
      <c r="E64" s="448"/>
      <c r="F64" s="266" t="s">
        <v>248</v>
      </c>
    </row>
    <row r="65" spans="2:5" ht="15" customHeight="1" x14ac:dyDescent="0.3">
      <c r="B65" s="292" t="s">
        <v>265</v>
      </c>
      <c r="D65" s="447">
        <f>D64</f>
        <v>7.51E-2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800033</v>
      </c>
      <c r="D4" s="260">
        <f>C4/C9</f>
        <v>0.57879833399771818</v>
      </c>
      <c r="E4" s="294">
        <f>C4*1.02</f>
        <v>816033.66</v>
      </c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318356</v>
      </c>
      <c r="D5" s="260">
        <f>C5/C9</f>
        <v>0.23032040230612683</v>
      </c>
      <c r="E5" s="294">
        <f>C5*1.04</f>
        <v>331090.24</v>
      </c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173280</v>
      </c>
      <c r="D6" s="260">
        <f>C6/C9</f>
        <v>0.12536254793880328</v>
      </c>
      <c r="E6" s="294">
        <f>C6*1.03</f>
        <v>178478.4</v>
      </c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90562</v>
      </c>
      <c r="D7" s="260">
        <f>C7/C9</f>
        <v>6.55187157573517E-2</v>
      </c>
      <c r="E7" s="294">
        <f>C7*1.4</f>
        <v>126786.79999999999</v>
      </c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>
        <v>0</v>
      </c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1382231</v>
      </c>
      <c r="D9" s="259"/>
      <c r="E9" s="338">
        <f>SUM(E4:E8)</f>
        <v>1452389.0999999999</v>
      </c>
      <c r="F9" s="259"/>
      <c r="G9" s="338">
        <f>E9*1.04</f>
        <v>1510484.6639999999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5.0757145513304014E-2</v>
      </c>
      <c r="F10" s="261"/>
      <c r="G10" s="18">
        <f>G9/E9-1</f>
        <v>4.0000000000000036E-2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102689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411606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111319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77419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SUM(C11:C14)</f>
        <v>703033</v>
      </c>
      <c r="D15" s="262"/>
      <c r="E15" s="227">
        <f>E9*(1-E16)</f>
        <v>842385.67800000007</v>
      </c>
      <c r="F15" s="262"/>
      <c r="G15" s="282">
        <f>IF(G9="","",G9*(1-G16))</f>
        <v>876081.10512000008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0.4913780692228723</v>
      </c>
      <c r="D16" s="186"/>
      <c r="E16" s="73">
        <v>0.42</v>
      </c>
      <c r="F16" s="186"/>
      <c r="G16" s="73">
        <f>E16</f>
        <v>0.42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679198</v>
      </c>
      <c r="D17" s="27"/>
      <c r="E17" s="27">
        <f>E9-E15</f>
        <v>610003.42199999979</v>
      </c>
      <c r="F17" s="27"/>
      <c r="G17" s="27">
        <f>IF(G10="","",G9-G15)</f>
        <v>634403.55887999979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170037</v>
      </c>
      <c r="D19" s="263"/>
      <c r="E19" s="76">
        <f>E9*E18</f>
        <v>178667.59275164569</v>
      </c>
      <c r="F19" s="263"/>
      <c r="G19" s="76">
        <f>G9*G18</f>
        <v>185814.29646171152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0.36836172824947494</v>
      </c>
      <c r="D20" s="18"/>
      <c r="E20" s="18">
        <f>E22/E9</f>
        <v>0.29698365902660251</v>
      </c>
      <c r="F20" s="18"/>
      <c r="G20" s="18">
        <f>E20</f>
        <v>0.29698365902660251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-0.15284982697348368</v>
      </c>
      <c r="F21" s="264"/>
      <c r="G21" s="14">
        <f>IF(G10="","",IF(ABS(E22+G22)=ABS(E22)+ABS(G22),IF(G22&lt;0,-1,1)*(G22-E22)/E22,"Turn"))</f>
        <v>4.0000000000000084E-2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509161</v>
      </c>
      <c r="D22" s="321"/>
      <c r="E22" s="320">
        <f>E17-E19</f>
        <v>431335.82924835407</v>
      </c>
      <c r="F22" s="321"/>
      <c r="G22" s="320">
        <f>IF(G10="","",G17-G19)</f>
        <v>448589.26241828827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0.60473610058133831</v>
      </c>
      <c r="D24" s="327"/>
      <c r="E24" s="326">
        <f>E25/E15</f>
        <v>0.42755406084002251</v>
      </c>
      <c r="F24" s="326"/>
      <c r="G24" s="326">
        <f>IF(G15="","",G25/G15)</f>
        <v>0.42755406084002251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425149.435</v>
      </c>
      <c r="D25" s="323"/>
      <c r="E25" s="324">
        <f>IF(E22="","",IF(E22&lt;=0,E22,E22*(1-E23)))</f>
        <v>360165.41742237564</v>
      </c>
      <c r="F25" s="323"/>
      <c r="G25" s="324">
        <f>IF(G22="","",IF(G22&lt;=0,G22,G22*(1-G23)))</f>
        <v>374572.03411927068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dxfId="5" priority="10">
      <formula>LEN(TRIM(G15))=0</formula>
    </cfRule>
    <cfRule type="containsBlanks" priority="11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425149.435</v>
      </c>
      <c r="D4" s="45">
        <f>Operation!E25</f>
        <v>360165.41742237564</v>
      </c>
      <c r="E4" s="45">
        <f>Operation!G25</f>
        <v>374572.03411927068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-0.1528498269734837</v>
      </c>
      <c r="E5" s="258">
        <f>IF(E4="","",E4/D4-1)</f>
        <v>4.0000000000000036E-2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f>D6</f>
        <v>0.3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127544.8305</v>
      </c>
      <c r="D7" s="310">
        <f>D4*D6</f>
        <v>108049.62522671268</v>
      </c>
      <c r="E7" s="311">
        <f>D7</f>
        <v>108049.62522671268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297604.60450000002</v>
      </c>
      <c r="D8" s="191">
        <f>D4-D7</f>
        <v>252115.79219566297</v>
      </c>
      <c r="E8" s="191">
        <f>IF(E4="","",E4-E7)</f>
        <v>266522.40889255801</v>
      </c>
      <c r="F8" s="191" t="str">
        <f>IF(F4="","",F4-F7)</f>
        <v/>
      </c>
      <c r="G8" s="229">
        <f>IF(F4="",IF(E4="",D8,E8),F8)</f>
        <v>266522.40889255801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0.4307119599790839</v>
      </c>
      <c r="D9" s="306">
        <f>D8/(Common_Shares/Data!$C$4)</f>
        <v>0.36487771142087094</v>
      </c>
      <c r="E9" s="306">
        <f>IF(E8="","",E8/(Common_Shares/Data!$C$4))</f>
        <v>0.38572786635920642</v>
      </c>
      <c r="F9" s="306" t="str">
        <f>IF(F8="","",F8/(Common_Shares/Data!$C$4))</f>
        <v/>
      </c>
      <c r="G9" s="307">
        <f>G8*Data!C$4/Dashboard!I5</f>
        <v>0.38572786635920642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1.0679991333937846</v>
      </c>
      <c r="D10" s="312">
        <f>D11/D9</f>
        <v>1.3703221225899196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0.21+0.29</f>
        <v>0.5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0.28999999999999998</v>
      </c>
      <c r="E12" s="346"/>
      <c r="F12" s="346"/>
      <c r="G12" s="230">
        <f>G9*D27</f>
        <v>3.8572786635920639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0.33069947390192589</v>
      </c>
      <c r="F15" s="196" t="str">
        <f>IF(F9="","",F9/F14)</f>
        <v/>
      </c>
      <c r="G15" s="233">
        <f ca="1">IF(G12=0,0,G12/G14)</f>
        <v>3.062032165758573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3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3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4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4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58" t="s">
        <v>227</v>
      </c>
      <c r="F23" s="458"/>
      <c r="G23" s="458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1.837219299455144</v>
      </c>
      <c r="F25" s="455">
        <f ca="1">SUM(C15:F15)</f>
        <v>0.59921799242044438</v>
      </c>
      <c r="G25" s="206">
        <f ca="1">$F$25+E25+$G$19</f>
        <v>9.9482698018745985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2.4496257326068585</v>
      </c>
      <c r="F26" s="456"/>
      <c r="G26" s="352">
        <f ca="1">$F$25+E26+$G$19</f>
        <v>10.560676235026312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3.062032165758573</v>
      </c>
      <c r="F27" s="457"/>
      <c r="G27" s="207">
        <f ca="1">$F$25+E27+$G$19</f>
        <v>11.173082668178026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13.106941291608036</v>
      </c>
      <c r="D30" s="23" t="str">
        <f ca="1">IF(C30&lt;E30,"&lt;",IF(C30=E30,"=","&gt;"))</f>
        <v>&gt;</v>
      </c>
      <c r="E30" s="251">
        <f ca="1">G26*Exchange_Rate</f>
        <v>10.560676235026312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2" t="s">
        <v>149</v>
      </c>
      <c r="D32" s="453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12.191758201373373</v>
      </c>
      <c r="D33" s="119" t="str">
        <f>Dashboard!J4</f>
        <v>HKD</v>
      </c>
      <c r="E33" s="120">
        <f ca="1">(C33-G19)/C9</f>
        <v>10.865557788554627</v>
      </c>
      <c r="F33" s="158">
        <f ca="1">C33/(Data!C28*Exchange_Rate*Data!C4/Common_Shares)</f>
        <v>0.42031410786900664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2023-03-23T07:34:43Z</dcterms:modified>
  <cp:category/>
  <cp:contentStatus/>
</cp:coreProperties>
</file>