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4267597F-6027-41FC-AB61-3CDFFF5D7F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F43" i="1"/>
  <c r="F42" i="1"/>
  <c r="E42" i="1" s="1"/>
  <c r="F40" i="1"/>
  <c r="I36" i="1"/>
  <c r="E26" i="1"/>
  <c r="C35" i="1"/>
  <c r="E7" i="3"/>
  <c r="C36" i="1"/>
  <c r="B18" i="1"/>
  <c r="E6" i="1"/>
  <c r="C12" i="1"/>
  <c r="D11" i="4"/>
  <c r="C11" i="4"/>
  <c r="F48" i="1" l="1"/>
  <c r="C13" i="7"/>
  <c r="C7" i="7"/>
  <c r="D5" i="7" s="1"/>
  <c r="E7" i="7" l="1"/>
  <c r="D65" i="3"/>
  <c r="C36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4" i="4"/>
  <c r="D4" i="7" l="1"/>
  <c r="D20" i="2"/>
  <c r="E20" i="2"/>
  <c r="F20" i="2"/>
  <c r="G20" i="2"/>
  <c r="H20" i="2"/>
  <c r="I20" i="2"/>
  <c r="J20" i="2"/>
  <c r="K20" i="2"/>
  <c r="L20" i="2"/>
  <c r="M20" i="2"/>
  <c r="C20" i="2"/>
  <c r="E13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9" i="4"/>
  <c r="C3" i="4" l="1"/>
  <c r="E3" i="7"/>
  <c r="C15" i="4"/>
  <c r="B3" i="4"/>
  <c r="C17" i="4" s="1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9" i="7" l="1"/>
  <c r="E11" i="7" s="1"/>
  <c r="E16" i="7" s="1"/>
  <c r="E17" i="7" s="1"/>
  <c r="E19" i="7" s="1"/>
  <c r="E18" i="7" s="1"/>
  <c r="G9" i="7"/>
  <c r="D52" i="3"/>
  <c r="C20" i="4" s="1"/>
  <c r="D20" i="4" s="1"/>
  <c r="I53" i="3"/>
  <c r="C7" i="1"/>
  <c r="C44" i="3"/>
  <c r="C25" i="3"/>
  <c r="I7" i="3" s="1"/>
  <c r="E15" i="7" l="1"/>
  <c r="G11" i="7"/>
  <c r="G16" i="7" s="1"/>
  <c r="G14" i="7" s="1"/>
  <c r="D4" i="4"/>
  <c r="E14" i="7"/>
  <c r="C45" i="3"/>
  <c r="E12" i="3"/>
  <c r="I15" i="7" l="1"/>
  <c r="I3" i="7" s="1"/>
  <c r="F3" i="4" s="1"/>
  <c r="G4" i="4" s="1"/>
  <c r="B24" i="4" s="1"/>
  <c r="G2" i="4" s="1"/>
  <c r="G15" i="7"/>
  <c r="G17" i="7"/>
  <c r="I17" i="7" s="1"/>
  <c r="I19" i="7" s="1"/>
  <c r="D7" i="4"/>
  <c r="D8" i="4" s="1"/>
  <c r="D9" i="4" s="1"/>
  <c r="D10" i="4" s="1"/>
  <c r="D5" i="4"/>
  <c r="D53" i="5"/>
  <c r="G19" i="7" l="1"/>
  <c r="E4" i="4" s="1"/>
  <c r="F4" i="4"/>
  <c r="I18" i="7"/>
  <c r="E35" i="3"/>
  <c r="G18" i="7" l="1"/>
  <c r="F8" i="4"/>
  <c r="F9" i="4" s="1"/>
  <c r="F5" i="4"/>
  <c r="E8" i="4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4" i="4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s="1"/>
  <c r="D14" i="1" l="1"/>
  <c r="F46" i="1" s="1"/>
  <c r="C33" i="4"/>
  <c r="H14" i="1" s="1"/>
  <c r="J25" i="1" s="1"/>
  <c r="D30" i="4"/>
  <c r="F49" i="1" l="1"/>
  <c r="E50" i="1" s="1"/>
  <c r="F50" i="1" s="1"/>
  <c r="E49" i="1"/>
  <c r="D16" i="1"/>
  <c r="F33" i="4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<sst xmlns="http://schemas.openxmlformats.org/spreadsheetml/2006/main" count="408" uniqueCount="343">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</sst>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8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0" t="s">
        <v>307</v>
      </c>
      <c r="D3" s="401"/>
      <c r="E3" s="15"/>
      <c r="G3" s="7" t="s">
        <v>2</v>
      </c>
      <c r="I3" s="412" t="s">
        <v>3</v>
      </c>
      <c r="J3" s="413"/>
    </row>
    <row r="4" spans="1:12" ht="15.75" customHeight="1" x14ac:dyDescent="0.3">
      <c r="B4" s="5" t="s">
        <v>4</v>
      </c>
      <c r="C4" s="402" t="s">
        <v>308</v>
      </c>
      <c r="D4" s="403"/>
      <c r="E4" s="6"/>
      <c r="G4" s="5" t="s">
        <v>5</v>
      </c>
      <c r="I4" s="32">
        <v>1.77</v>
      </c>
      <c r="J4" s="33" t="s">
        <v>6</v>
      </c>
      <c r="K4" s="152"/>
    </row>
    <row r="5" spans="1:12" ht="15.75" customHeight="1" x14ac:dyDescent="0.3">
      <c r="B5" s="5" t="s">
        <v>7</v>
      </c>
      <c r="C5" s="404">
        <v>44502</v>
      </c>
      <c r="D5" s="403"/>
      <c r="E5" s="122" t="str">
        <f ca="1">IF(C5+30&gt;=TODAY(),"Patience Premium","")</f>
        <v/>
      </c>
      <c r="G5" s="5" t="s">
        <v>8</v>
      </c>
      <c r="I5" s="395">
        <v>7528737440</v>
      </c>
      <c r="J5" s="396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52">
        <f>Data!C3</f>
        <v>44561</v>
      </c>
      <c r="G6" s="134" t="s">
        <v>9</v>
      </c>
      <c r="H6" s="133"/>
      <c r="I6" s="414">
        <f>I4*I5/1000000</f>
        <v>13325.865268799998</v>
      </c>
      <c r="J6" s="415"/>
      <c r="K6" s="151"/>
    </row>
    <row r="7" spans="1:12" ht="15.75" customHeight="1" x14ac:dyDescent="0.3">
      <c r="B7" s="139" t="s">
        <v>10</v>
      </c>
      <c r="C7" s="145">
        <f>(Data!C39)/I4</f>
        <v>5.2524769377548249E-2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1.3028290005276482</v>
      </c>
      <c r="J10" s="130">
        <f>IF(Asset_Model!D60/'FCFF Model'!C4&lt;0,"Negative EV",Asset_Model!D60/'FCFF Model'!C4)</f>
        <v>34.556709038208147</v>
      </c>
    </row>
    <row r="11" spans="1:12" ht="15.75" customHeight="1" thickBot="1" x14ac:dyDescent="0.35">
      <c r="B11" s="313" t="s">
        <v>276</v>
      </c>
      <c r="C11" s="426">
        <f ca="1">C12-D10</f>
        <v>5.1000000000000004E-2</v>
      </c>
      <c r="D11" s="427"/>
      <c r="E11" s="13"/>
      <c r="G11" s="5" t="s">
        <v>15</v>
      </c>
      <c r="H11" s="6"/>
      <c r="I11" s="424" t="s">
        <v>6</v>
      </c>
      <c r="J11" s="425"/>
    </row>
    <row r="12" spans="1:12" ht="15.75" customHeight="1" thickTop="1" x14ac:dyDescent="0.3">
      <c r="B12" s="314" t="s">
        <v>150</v>
      </c>
      <c r="C12" s="428">
        <f ca="1">IF(C10="CN",8%,6%)*IF($C$5+30&gt;=TODAY(),1.2,1)</f>
        <v>0.08</v>
      </c>
      <c r="D12" s="429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1.1290947621298995</v>
      </c>
      <c r="E14" s="127" t="s">
        <v>234</v>
      </c>
      <c r="F14" s="184">
        <f ca="1">MAX('FCFF Model'!C30,'FCFF Model'!E30)</f>
        <v>1.4847069809324032</v>
      </c>
      <c r="G14" s="185" t="s">
        <v>24</v>
      </c>
      <c r="H14" s="193">
        <f ca="1">IF('FCFF Model'!C33&lt;0, "Error", 'FCFF Model'!C33)</f>
        <v>1.3790786610770438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1.77</v>
      </c>
      <c r="C16" s="435">
        <v>0.1</v>
      </c>
      <c r="D16" s="159">
        <f ca="1">H14/B16-1-C16</f>
        <v>-0.32085951351579445</v>
      </c>
      <c r="E16" s="432">
        <f>'FCFF Model'!D11*Exchange_Rate</f>
        <v>0.1235</v>
      </c>
      <c r="F16" s="161">
        <f>E16/B16</f>
        <v>6.9774011299435029E-2</v>
      </c>
      <c r="G16" s="419" t="s">
        <v>25</v>
      </c>
      <c r="H16" s="416">
        <f>('FCFF Model'!G19)*Exchange_Rate</f>
        <v>0.87210948438879266</v>
      </c>
      <c r="I16" s="419" t="s">
        <v>26</v>
      </c>
      <c r="J16" s="206">
        <f>B16-$H$16</f>
        <v>0.89789051561120736</v>
      </c>
    </row>
    <row r="17" spans="1:10" ht="15.75" customHeight="1" x14ac:dyDescent="0.3">
      <c r="B17" s="290">
        <f ca="1">H14/(1+C16)</f>
        <v>1.2537078737064034</v>
      </c>
      <c r="C17" s="436"/>
      <c r="D17" s="289">
        <f ca="1">H14/B17-1-C16</f>
        <v>0</v>
      </c>
      <c r="E17" s="433"/>
      <c r="F17" s="162">
        <f ca="1">E16/B17</f>
        <v>9.8507796425406802E-2</v>
      </c>
      <c r="G17" s="420"/>
      <c r="H17" s="417"/>
      <c r="I17" s="420"/>
      <c r="J17" s="205">
        <f ca="1">B17-$H$16</f>
        <v>0.3815983893176107</v>
      </c>
    </row>
    <row r="18" spans="1:10" ht="15.75" customHeight="1" x14ac:dyDescent="0.3">
      <c r="B18" s="355">
        <f>C35</f>
        <v>1.1000000000000001</v>
      </c>
      <c r="C18" s="437"/>
      <c r="D18" s="160">
        <f ca="1">H14/B18-1-C16</f>
        <v>0.15370787370640335</v>
      </c>
      <c r="E18" s="434"/>
      <c r="F18" s="163">
        <f>E16/B18</f>
        <v>0.11227272727272726</v>
      </c>
      <c r="G18" s="421"/>
      <c r="H18" s="418"/>
      <c r="I18" s="421"/>
      <c r="J18" s="207">
        <f>B18-$H$16</f>
        <v>0.22789051561120743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7"/>
      <c r="D21" s="408"/>
      <c r="E21" s="408"/>
      <c r="F21" s="408"/>
      <c r="G21" s="408"/>
      <c r="H21" s="408"/>
      <c r="I21" s="408"/>
      <c r="J21" s="409"/>
    </row>
    <row r="22" spans="1:10" ht="52.5" customHeight="1" x14ac:dyDescent="0.3">
      <c r="A22" s="6"/>
      <c r="B22" s="24" t="s">
        <v>29</v>
      </c>
      <c r="C22" s="423" t="s">
        <v>314</v>
      </c>
      <c r="D22" s="371"/>
      <c r="E22" s="371"/>
      <c r="F22" s="371"/>
      <c r="G22" s="423"/>
      <c r="H22" s="423"/>
      <c r="I22" s="371"/>
      <c r="J22" s="371"/>
    </row>
    <row r="23" spans="1:10" ht="52.5" customHeight="1" x14ac:dyDescent="0.3">
      <c r="A23" s="6"/>
      <c r="B23" s="25" t="s">
        <v>30</v>
      </c>
      <c r="C23" s="410"/>
      <c r="D23" s="411"/>
      <c r="E23" s="411"/>
      <c r="F23" s="411"/>
      <c r="G23" s="410"/>
      <c r="H23" s="410"/>
      <c r="I23" s="411"/>
      <c r="J23" s="41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3">
        <v>0.15</v>
      </c>
      <c r="I25" s="30" t="s">
        <v>324</v>
      </c>
      <c r="J25" s="354">
        <f ca="1">H14/(H25+C16+1)</f>
        <v>1.1032629288616351</v>
      </c>
    </row>
    <row r="26" spans="1:10" ht="15.75" customHeight="1" x14ac:dyDescent="0.3">
      <c r="B26" s="23" t="s">
        <v>33</v>
      </c>
      <c r="C26" s="405">
        <v>44503</v>
      </c>
      <c r="D26" s="406"/>
      <c r="E26" s="441" t="str">
        <f>IF(C26="","","Action_Planning")</f>
        <v>Action_Planning</v>
      </c>
      <c r="F26" s="442"/>
      <c r="G26" s="442"/>
      <c r="H26" s="443"/>
      <c r="I26" s="422" t="s">
        <v>34</v>
      </c>
      <c r="J26" s="422"/>
    </row>
    <row r="27" spans="1:10" ht="15.75" customHeight="1" x14ac:dyDescent="0.3">
      <c r="B27" s="23" t="s">
        <v>35</v>
      </c>
      <c r="C27" s="431">
        <f>C31/D25</f>
        <v>4.48E-2</v>
      </c>
      <c r="D27" s="394"/>
      <c r="E27" s="430">
        <f>E31/D25</f>
        <v>0.11</v>
      </c>
      <c r="F27" s="394"/>
      <c r="G27" s="439">
        <f>G31/D25</f>
        <v>0</v>
      </c>
      <c r="H27" s="440"/>
      <c r="I27" s="438">
        <f>C27+E27+G27</f>
        <v>0.15479999999999999</v>
      </c>
      <c r="J27" s="438"/>
    </row>
    <row r="28" spans="1:10" ht="15.75" customHeight="1" x14ac:dyDescent="0.3">
      <c r="B28" s="23" t="s">
        <v>36</v>
      </c>
      <c r="C28" s="366">
        <v>16000</v>
      </c>
      <c r="D28" s="371"/>
      <c r="E28" s="366">
        <v>60000</v>
      </c>
      <c r="F28" s="371"/>
      <c r="G28" s="395"/>
      <c r="H28" s="396"/>
      <c r="I28" s="399">
        <f>C28+E28+G28</f>
        <v>76000</v>
      </c>
      <c r="J28" s="399"/>
    </row>
    <row r="29" spans="1:10" ht="15.75" customHeight="1" x14ac:dyDescent="0.3">
      <c r="B29" s="23" t="s">
        <v>37</v>
      </c>
      <c r="C29" s="370">
        <v>1.68</v>
      </c>
      <c r="D29" s="371"/>
      <c r="E29" s="370">
        <v>1.1000000000000001</v>
      </c>
      <c r="F29" s="371"/>
      <c r="G29" s="372"/>
      <c r="H29" s="373"/>
      <c r="I29" s="397"/>
      <c r="J29" s="397"/>
    </row>
    <row r="30" spans="1:10" ht="15.75" customHeight="1" x14ac:dyDescent="0.3">
      <c r="B30" s="23" t="s">
        <v>38</v>
      </c>
      <c r="C30" s="368">
        <f>C29*$I$5/1000000</f>
        <v>12648.278899199999</v>
      </c>
      <c r="D30" s="378"/>
      <c r="E30" s="368">
        <f>E29*$I$5/1000000</f>
        <v>8281.6111840000012</v>
      </c>
      <c r="F30" s="378"/>
      <c r="G30" s="381">
        <f>G29*$I$5/1000000</f>
        <v>0</v>
      </c>
      <c r="H30" s="382"/>
      <c r="I30" s="398"/>
      <c r="J30" s="398"/>
    </row>
    <row r="31" spans="1:10" ht="15.75" customHeight="1" x14ac:dyDescent="0.3">
      <c r="B31" s="2" t="s">
        <v>39</v>
      </c>
      <c r="C31" s="390">
        <f>C28*C29</f>
        <v>26880</v>
      </c>
      <c r="D31" s="391"/>
      <c r="E31" s="392">
        <f>E28*E29</f>
        <v>66000</v>
      </c>
      <c r="F31" s="393"/>
      <c r="G31" s="383">
        <f>G28*G29</f>
        <v>0</v>
      </c>
      <c r="H31" s="384"/>
      <c r="I31" s="392">
        <f>C31+E31+G31</f>
        <v>92880</v>
      </c>
      <c r="J31" s="392"/>
    </row>
    <row r="32" spans="1:10" ht="15.75" customHeight="1" x14ac:dyDescent="0.3">
      <c r="B32" s="1" t="s">
        <v>40</v>
      </c>
      <c r="C32" s="388"/>
      <c r="D32" s="389"/>
      <c r="E32" s="369">
        <f>IF(C31=0,"-",(C31+E31)/(C28+E28))</f>
        <v>1.2221052631578948</v>
      </c>
      <c r="F32" s="394"/>
      <c r="G32" s="117"/>
      <c r="H32" s="117"/>
      <c r="I32" s="369">
        <f>IF(I31=0,"",I31/I28)</f>
        <v>1.2221052631578948</v>
      </c>
      <c r="J32" s="369"/>
    </row>
    <row r="33" spans="2:10" ht="15.75" customHeight="1" x14ac:dyDescent="0.3">
      <c r="B33" s="1" t="s">
        <v>41</v>
      </c>
      <c r="C33" s="379"/>
      <c r="D33" s="380"/>
      <c r="E33" s="368">
        <f>IF(E32="-","-",E32*$I$5/1000000)</f>
        <v>9200.9096503578949</v>
      </c>
      <c r="F33" s="378"/>
      <c r="G33" s="118"/>
      <c r="H33" s="118"/>
      <c r="I33" s="368">
        <f>IF(I32="","",I32*$I$5/1000000)</f>
        <v>9200.9096503578949</v>
      </c>
      <c r="J33" s="368"/>
    </row>
    <row r="34" spans="2:10" ht="15.75" customHeight="1" x14ac:dyDescent="0.3"/>
    <row r="35" spans="2:10" ht="15.75" customHeight="1" x14ac:dyDescent="0.3">
      <c r="B35" s="146" t="s">
        <v>320</v>
      </c>
      <c r="C35" s="374">
        <f>E29</f>
        <v>1.1000000000000001</v>
      </c>
      <c r="D35" s="375"/>
      <c r="G35" s="376" t="s">
        <v>321</v>
      </c>
      <c r="H35" s="377"/>
      <c r="I35" s="374">
        <v>1.9</v>
      </c>
      <c r="J35" s="375"/>
    </row>
    <row r="36" spans="2:10" ht="15.75" customHeight="1" x14ac:dyDescent="0.3">
      <c r="B36" s="146" t="s">
        <v>322</v>
      </c>
      <c r="C36" s="366">
        <f>E28</f>
        <v>60000</v>
      </c>
      <c r="D36" s="367"/>
      <c r="G36" s="385" t="s">
        <v>328</v>
      </c>
      <c r="H36" s="385"/>
      <c r="I36" s="386">
        <f>IF(C26="",0,I35/C29-1)</f>
        <v>0.13095238095238093</v>
      </c>
      <c r="J36" s="387"/>
    </row>
    <row r="37" spans="2:10" ht="15.75" customHeight="1" x14ac:dyDescent="0.3"/>
    <row r="38" spans="2:10" ht="15.75" customHeight="1" x14ac:dyDescent="0.3">
      <c r="B38" s="21" t="s">
        <v>329</v>
      </c>
      <c r="G38" s="349" t="s">
        <v>141</v>
      </c>
      <c r="H38" s="133"/>
      <c r="I38" s="133"/>
      <c r="J38" s="133"/>
    </row>
    <row r="39" spans="2:10" ht="15.75" customHeight="1" x14ac:dyDescent="0.3">
      <c r="B39" s="3" t="s">
        <v>330</v>
      </c>
      <c r="F39" s="214">
        <f>'Qualitative Analysis'!E8</f>
        <v>0.51</v>
      </c>
      <c r="G39" s="358"/>
      <c r="H39" s="116"/>
      <c r="I39" s="116"/>
      <c r="J39" s="116"/>
    </row>
    <row r="40" spans="2:10" ht="15.75" customHeight="1" x14ac:dyDescent="0.3">
      <c r="B40" s="3" t="s">
        <v>331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332</v>
      </c>
      <c r="E41" s="359"/>
      <c r="F41" s="360">
        <f>'Qualitative Analysis'!E64</f>
        <v>0.70296768707482993</v>
      </c>
      <c r="G41" s="358" t="s">
        <v>333</v>
      </c>
      <c r="H41" s="116"/>
      <c r="I41" s="116"/>
      <c r="J41" s="116"/>
    </row>
    <row r="42" spans="2:10" ht="15.75" customHeight="1" x14ac:dyDescent="0.3">
      <c r="B42" s="3" t="s">
        <v>341</v>
      </c>
      <c r="E42" s="359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334</v>
      </c>
      <c r="H42" s="74"/>
      <c r="I42" s="74"/>
      <c r="J42" s="74"/>
    </row>
    <row r="43" spans="2:10" ht="15.75" customHeight="1" x14ac:dyDescent="0.3">
      <c r="B43" s="3" t="s">
        <v>342</v>
      </c>
      <c r="F43" s="361">
        <f>AVERAGE(80%*0.5,0.6)</f>
        <v>0.5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335</v>
      </c>
      <c r="F45" s="360">
        <f>I35/C29-1</f>
        <v>0.13095238095238093</v>
      </c>
    </row>
    <row r="46" spans="2:10" ht="15.75" customHeight="1" x14ac:dyDescent="0.3">
      <c r="B46" s="3" t="s">
        <v>336</v>
      </c>
      <c r="F46" s="360">
        <f ca="1">D14/C29-1</f>
        <v>-0.32791978444648839</v>
      </c>
    </row>
    <row r="47" spans="2:10" ht="15.75" customHeight="1" x14ac:dyDescent="0.3"/>
    <row r="48" spans="2:10" ht="15.75" customHeight="1" x14ac:dyDescent="0.3">
      <c r="B48" s="3" t="s">
        <v>337</v>
      </c>
      <c r="F48" s="214">
        <f>IF(F45&lt;=0,0,AVERAGE(F39:F41,1-F43,E42))</f>
        <v>0.60259353741496602</v>
      </c>
      <c r="G48" s="74"/>
    </row>
    <row r="49" spans="2:8" ht="15.75" customHeight="1" x14ac:dyDescent="0.3">
      <c r="B49" s="3" t="s">
        <v>338</v>
      </c>
      <c r="E49" s="362">
        <f ca="1">F45/ABS(F46)</f>
        <v>0.39934272698252032</v>
      </c>
      <c r="F49" s="363">
        <f ca="1">IF(F46&gt;=0,100,F45/ABS(F46))</f>
        <v>0.39934272698252032</v>
      </c>
      <c r="G49" s="74"/>
    </row>
    <row r="50" spans="2:8" ht="15.75" customHeight="1" x14ac:dyDescent="0.3">
      <c r="B50" s="3" t="s">
        <v>339</v>
      </c>
      <c r="E50" s="107">
        <f ca="1">MAX(F48-ABS((1-F48)/F49),0)/2</f>
        <v>0</v>
      </c>
      <c r="F50" s="364">
        <f ca="1">MIN(E50,H50)</f>
        <v>0</v>
      </c>
      <c r="G50" s="365" t="s">
        <v>340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6" priority="15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7" operator="greaterThan">
      <formula>$B$16</formula>
    </cfRule>
  </conditionalFormatting>
  <conditionalFormatting sqref="H16">
    <cfRule type="cellIs" dxfId="12" priority="10" operator="greaterThan">
      <formula>$B$16</formula>
    </cfRule>
  </conditionalFormatting>
  <conditionalFormatting sqref="I16">
    <cfRule type="cellIs" dxfId="11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disablePrompts="1"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B3F70C4-C46F-461A-9520-C3AFCCC548A4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7" sqref="C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298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9" sqref="H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9" t="s">
        <v>141</v>
      </c>
    </row>
    <row r="3" spans="1:11" ht="15" customHeight="1" x14ac:dyDescent="0.3">
      <c r="B3" s="5" t="s">
        <v>259</v>
      </c>
      <c r="C3" s="6"/>
      <c r="D3" s="274">
        <v>10746578</v>
      </c>
      <c r="E3" s="156" t="str">
        <f>IF((C46-I46)=D3,"", "Error!")</f>
        <v/>
      </c>
      <c r="F3" s="6"/>
      <c r="G3" s="6"/>
      <c r="H3" s="275" t="s">
        <v>260</v>
      </c>
      <c r="I3" s="276">
        <v>10646128</v>
      </c>
      <c r="K3" s="74"/>
    </row>
    <row r="4" spans="1:11" ht="15" customHeight="1" x14ac:dyDescent="0.3">
      <c r="B4" s="5" t="s">
        <v>226</v>
      </c>
      <c r="C4" s="6"/>
      <c r="D4" s="277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7275776.6768969977</v>
      </c>
      <c r="E6" s="14">
        <f>1-D6/D3</f>
        <v>0.322968048350182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0.96640063953365829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3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 x14ac:dyDescent="0.3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3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 x14ac:dyDescent="0.3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3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 x14ac:dyDescent="0.3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3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209</v>
      </c>
      <c r="C50" s="218">
        <f>D4</f>
        <v>100450</v>
      </c>
      <c r="D50" s="214">
        <f>IF(E50=0, 0,E50/C50)</f>
        <v>1.3028290005276482</v>
      </c>
      <c r="E50" s="218">
        <f>MAX(C50,C50*Dashboard!I10)</f>
        <v>130869.17310300226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4">
        <f>D53+D54+D55</f>
        <v>2627003</v>
      </c>
      <c r="E52" s="445"/>
      <c r="F52" s="53"/>
      <c r="G52" s="53"/>
    </row>
    <row r="53" spans="2:9" ht="14.5" thickTop="1" x14ac:dyDescent="0.3">
      <c r="B53" s="58" t="s">
        <v>236</v>
      </c>
      <c r="C53" s="6"/>
      <c r="D53" s="447">
        <f>SUM(I11:I13)+SUM(I28:I30)</f>
        <v>2627003</v>
      </c>
      <c r="E53" s="391"/>
      <c r="F53" s="5"/>
      <c r="G53" s="5"/>
      <c r="H53" s="3" t="s">
        <v>273</v>
      </c>
      <c r="I53" s="14">
        <f>D53/I3</f>
        <v>0.24675666120114281</v>
      </c>
    </row>
    <row r="54" spans="2:9" ht="14" x14ac:dyDescent="0.3">
      <c r="B54" s="58" t="s">
        <v>136</v>
      </c>
      <c r="C54" s="6"/>
      <c r="D54" s="452">
        <v>0</v>
      </c>
      <c r="E54" s="371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2">
        <v>0</v>
      </c>
      <c r="E55" s="371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6"/>
      <c r="E57" s="44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 x14ac:dyDescent="0.3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 x14ac:dyDescent="0.3">
      <c r="B60" s="53" t="s">
        <v>140</v>
      </c>
      <c r="C60" s="6"/>
      <c r="D60" s="450">
        <f>((Dashboard!I6*Data!C4)+D52+E50-C58-C59)</f>
        <v>5288446.4419030007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386">
        <f>((C26-C11-C12-C14-C15-C16*G16-C19*G19-C20*G20)-I26)/Data!C7</f>
        <v>-0.86417172441551726</v>
      </c>
      <c r="E63" s="387"/>
    </row>
    <row r="64" spans="2:9" ht="15" customHeight="1" x14ac:dyDescent="0.3">
      <c r="B64" s="3" t="s">
        <v>267</v>
      </c>
      <c r="D64" s="448">
        <v>0.14829999999999999</v>
      </c>
      <c r="E64" s="449"/>
      <c r="F64" s="266" t="s">
        <v>252</v>
      </c>
    </row>
    <row r="65" spans="2:5" ht="15" customHeight="1" x14ac:dyDescent="0.3">
      <c r="B65" s="292" t="s">
        <v>269</v>
      </c>
      <c r="D65" s="448">
        <f>D64</f>
        <v>0.14829999999999999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D21" sqref="D2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309</v>
      </c>
      <c r="C4" s="294">
        <v>613322</v>
      </c>
      <c r="D4" s="260">
        <f>C4/C7</f>
        <v>0.51322685352932262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310</v>
      </c>
      <c r="C5" s="294">
        <v>558465</v>
      </c>
      <c r="D5" s="260">
        <f>C5/C7</f>
        <v>0.46732260502028816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311</v>
      </c>
      <c r="C6" s="294">
        <v>23244</v>
      </c>
      <c r="D6" s="260">
        <f>C6/C7</f>
        <v>1.9450541450389155E-2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143</v>
      </c>
      <c r="C7" s="180">
        <f>SUM(C4:C6)</f>
        <v>1195031</v>
      </c>
      <c r="D7" s="259"/>
      <c r="E7" s="338">
        <f>C7*1.445</f>
        <v>1726819.7950000002</v>
      </c>
      <c r="F7" s="259"/>
      <c r="G7" s="338"/>
      <c r="H7" s="259"/>
      <c r="I7" s="228"/>
      <c r="J7" s="288"/>
      <c r="K7" s="6"/>
      <c r="L7" s="74" t="s">
        <v>270</v>
      </c>
      <c r="M7" s="57"/>
    </row>
    <row r="8" spans="1:13" ht="15.75" customHeight="1" x14ac:dyDescent="0.3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247</v>
      </c>
      <c r="C16" s="320">
        <f>C11-C13</f>
        <v>204049</v>
      </c>
      <c r="D16" s="321"/>
      <c r="E16" s="320">
        <f>E11-E13</f>
        <v>359003.38625000004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148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305</v>
      </c>
      <c r="C18" s="264">
        <f>C19/C9</f>
        <v>0.23623052723871152</v>
      </c>
      <c r="D18" s="327"/>
      <c r="E18" s="326">
        <f>E19/E9</f>
        <v>0.28762871857962302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153036.75</v>
      </c>
      <c r="D19" s="323"/>
      <c r="E19" s="324">
        <f>IF(E16="","",IF(E16&lt;=0,E16,E16*(1-E17)))</f>
        <v>269252.53968750004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9:H12 G14:H16 G8:I8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7" sqref="B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350"/>
      <c r="J4" s="56"/>
    </row>
    <row r="5" spans="1:10" ht="15.75" customHeight="1" x14ac:dyDescent="0.3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50"/>
      <c r="J5" s="56"/>
    </row>
    <row r="6" spans="1:10" ht="15.75" customHeight="1" x14ac:dyDescent="0.3">
      <c r="B6" s="17" t="s">
        <v>68</v>
      </c>
      <c r="C6" s="65">
        <v>0.35</v>
      </c>
      <c r="D6" s="226">
        <v>0.35</v>
      </c>
      <c r="E6" s="65"/>
      <c r="F6" s="309"/>
      <c r="G6" s="199"/>
      <c r="H6" s="6"/>
      <c r="I6" s="351"/>
    </row>
    <row r="7" spans="1:10" ht="15" customHeight="1" thickBot="1" x14ac:dyDescent="0.35">
      <c r="B7" s="81" t="s">
        <v>271</v>
      </c>
      <c r="C7" s="310">
        <f>C4*C6</f>
        <v>53562.862499999996</v>
      </c>
      <c r="D7" s="310">
        <f>D4*D6</f>
        <v>94238.388890625007</v>
      </c>
      <c r="E7" s="311"/>
      <c r="F7" s="311"/>
      <c r="G7" s="200"/>
      <c r="H7" s="82"/>
      <c r="I7" s="350"/>
      <c r="J7" s="56"/>
    </row>
    <row r="8" spans="1:10" ht="15.75" customHeight="1" thickTop="1" x14ac:dyDescent="0.3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50"/>
      <c r="J8" s="56"/>
    </row>
    <row r="9" spans="1:10" ht="15.75" customHeight="1" x14ac:dyDescent="0.3">
      <c r="B9" s="203" t="s">
        <v>218</v>
      </c>
      <c r="C9" s="193">
        <f>C8/(Common_Shares/Data!$C$4)</f>
        <v>1.3212558983860647E-2</v>
      </c>
      <c r="D9" s="306">
        <f>D8/(Common_Shares/Data!$C$4)</f>
        <v>2.3246148798738694E-2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2.3246148798738694E-2</v>
      </c>
      <c r="H9" s="82"/>
      <c r="I9" s="350"/>
      <c r="J9" s="56"/>
    </row>
    <row r="10" spans="1:10" ht="15.75" customHeight="1" x14ac:dyDescent="0.3">
      <c r="B10" s="234" t="s">
        <v>248</v>
      </c>
      <c r="C10" s="312">
        <f>C11/C9</f>
        <v>7.2658142996572845</v>
      </c>
      <c r="D10" s="312">
        <f>D11/D9</f>
        <v>5.312707970220897</v>
      </c>
      <c r="E10" s="346"/>
      <c r="F10" s="346"/>
      <c r="G10" s="235"/>
      <c r="H10" s="82"/>
      <c r="I10" s="350" t="s">
        <v>316</v>
      </c>
      <c r="J10" s="56"/>
    </row>
    <row r="11" spans="1:10" ht="15.75" customHeight="1" x14ac:dyDescent="0.3">
      <c r="B11" s="234" t="s">
        <v>262</v>
      </c>
      <c r="C11" s="284">
        <f>0.0411+0.0549</f>
        <v>9.6000000000000002E-2</v>
      </c>
      <c r="D11" s="285">
        <f>0.0137*2+0.0412+0.0549</f>
        <v>0.1235</v>
      </c>
      <c r="E11" s="347"/>
      <c r="F11" s="347"/>
      <c r="G11" s="283"/>
      <c r="H11" s="82"/>
      <c r="I11" s="350"/>
      <c r="J11" s="56"/>
    </row>
    <row r="12" spans="1:10" ht="15.75" customHeight="1" x14ac:dyDescent="0.3">
      <c r="B12" s="19" t="s">
        <v>278</v>
      </c>
      <c r="C12" s="236">
        <v>0</v>
      </c>
      <c r="D12" s="236">
        <f>D11</f>
        <v>0.1235</v>
      </c>
      <c r="E12" s="348"/>
      <c r="F12" s="348"/>
      <c r="G12" s="230">
        <f>G9*D26</f>
        <v>0.58115371996846732</v>
      </c>
      <c r="H12" s="82"/>
      <c r="I12" s="350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1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1"/>
      <c r="J14" s="57"/>
    </row>
    <row r="15" spans="1:10" ht="15.75" customHeight="1" thickTop="1" x14ac:dyDescent="0.3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50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6565883.3268969981</v>
      </c>
    </row>
    <row r="19" spans="1:9" ht="15.75" customHeight="1" x14ac:dyDescent="0.3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(G18+MIN(D4,0))*Data!C$4/Dashboard!I5</f>
        <v>0.87210948438879266</v>
      </c>
    </row>
    <row r="20" spans="1:9" ht="15.75" customHeight="1" x14ac:dyDescent="0.3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55" t="str">
        <f>IF(F21+G21=G19,"⇒","Error!")</f>
        <v>Error!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-130869.17310300226</v>
      </c>
      <c r="D21" s="219">
        <f>C21/(Dashboard!I5/Data!C4)</f>
        <v>-1.7382618818355587E-2</v>
      </c>
      <c r="E21" s="455"/>
      <c r="F21" s="148">
        <f>D18</f>
        <v>0.56166881016905268</v>
      </c>
      <c r="G21" s="147">
        <f>SUM(D19:D21)</f>
        <v>0.31044067421973975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58" t="s">
        <v>231</v>
      </c>
      <c r="F23" s="458"/>
      <c r="G23" s="458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299</v>
      </c>
      <c r="C25" s="14">
        <f>1/D25</f>
        <v>6.6666666666666666E-2</v>
      </c>
      <c r="D25" s="298">
        <v>15</v>
      </c>
      <c r="E25" s="206">
        <f ca="1">G9*D25/G14</f>
        <v>0.29894738681505517</v>
      </c>
      <c r="F25" s="456">
        <f ca="1">SUM(C15:F15)</f>
        <v>0.11435185185185184</v>
      </c>
      <c r="G25" s="206">
        <f ca="1">$F$25+E25+$G$19</f>
        <v>1.2854087230556996</v>
      </c>
      <c r="I25" s="74" t="s">
        <v>319</v>
      </c>
    </row>
    <row r="26" spans="1:9" ht="15.75" customHeight="1" x14ac:dyDescent="0.3">
      <c r="B26" s="302" t="s">
        <v>300</v>
      </c>
      <c r="C26" s="303">
        <f t="shared" ref="C26" si="0">1/D26</f>
        <v>0.04</v>
      </c>
      <c r="D26" s="315">
        <v>25</v>
      </c>
      <c r="E26" s="207">
        <f ca="1">G9*D26/G14</f>
        <v>0.49824564469175864</v>
      </c>
      <c r="F26" s="457"/>
      <c r="G26" s="207">
        <f ca="1">$F$25+E26+$G$19</f>
        <v>1.4847069809324032</v>
      </c>
      <c r="I26" s="74" t="s">
        <v>318</v>
      </c>
    </row>
    <row r="27" spans="1:9" ht="15.75" customHeight="1" x14ac:dyDescent="0.3">
      <c r="B27" s="30"/>
      <c r="C27" s="356"/>
      <c r="D27" s="357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1.1290947621298995</v>
      </c>
      <c r="D30" s="23" t="str">
        <f ca="1">IF(C30&lt;E30,"&lt;",IF(C30=E30,"=","&gt;"))</f>
        <v>&lt;</v>
      </c>
      <c r="E30" s="251">
        <f ca="1">G26*Exchange_Rate</f>
        <v>1.4847069809324032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153</v>
      </c>
      <c r="D32" s="454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1.3790786610770438</v>
      </c>
      <c r="D33" s="119" t="str">
        <f>Dashboard!J4</f>
        <v>HKD</v>
      </c>
      <c r="E33" s="120">
        <f ca="1">(C33-G19)/C9</f>
        <v>38.37024889028099</v>
      </c>
      <c r="F33" s="158">
        <f ca="1">C33/(Data!C28*Exchange_Rate*Data!C4/Common_Shares)</f>
        <v>1.0150868212768431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1.5275728073472248</v>
      </c>
      <c r="D34" s="208" t="str">
        <f>D33</f>
        <v>HKD</v>
      </c>
      <c r="E34" s="120">
        <f ca="1">(C34-G19)/C9</f>
        <v>49.609112342211006</v>
      </c>
      <c r="F34" s="158">
        <f ca="1">C34/(Data!C28*Exchange_Rate*Data!C4/Common_Shares)</f>
        <v>1.1243876575307337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 t="s">
        <v>313</v>
      </c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4</v>
      </c>
      <c r="E20" s="31" t="s">
        <v>165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2</v>
      </c>
      <c r="E22" s="31" t="s">
        <v>155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286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287</v>
      </c>
      <c r="D32" s="100">
        <f t="shared" si="3"/>
        <v>1</v>
      </c>
      <c r="E32" s="31" t="s">
        <v>163</v>
      </c>
      <c r="F32" s="6"/>
      <c r="G32" s="295"/>
    </row>
    <row r="33" spans="2:7" ht="15" customHeight="1" x14ac:dyDescent="0.3">
      <c r="B33" s="53" t="s">
        <v>288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289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306</v>
      </c>
      <c r="D35" s="100">
        <f t="shared" si="3"/>
        <v>1</v>
      </c>
      <c r="E35" s="31" t="s">
        <v>163</v>
      </c>
      <c r="G35" s="295" t="s">
        <v>313</v>
      </c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290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291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292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1</v>
      </c>
      <c r="E45" s="31" t="s">
        <v>163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3</v>
      </c>
      <c r="E59" s="31" t="s">
        <v>156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3</v>
      </c>
      <c r="E60" s="31" t="s">
        <v>156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2023-03-23T09:23:52Z</dcterms:modified>
  <cp:category/>
  <cp:contentStatus/>
</cp:coreProperties>
</file>