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4AB13FC6-AA1A-40FF-842E-A1BFE4845B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2" i="1"/>
  <c r="E42" i="1" s="1"/>
  <c r="F40" i="1"/>
  <c r="F48" i="1" l="1"/>
  <c r="I36" i="1"/>
  <c r="B16" i="1"/>
  <c r="E6" i="7"/>
  <c r="E5" i="7"/>
  <c r="C13" i="7"/>
  <c r="E13" i="7" s="1"/>
  <c r="C7" i="7"/>
  <c r="D6" i="7" s="1"/>
  <c r="C36" i="3"/>
  <c r="C17" i="3"/>
  <c r="C36" i="1"/>
  <c r="E26" i="1"/>
  <c r="E7" i="3"/>
  <c r="E6" i="1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E16" i="1"/>
  <c r="D5" i="7" l="1"/>
  <c r="E7" i="7"/>
  <c r="E9" i="7" s="1"/>
  <c r="D4" i="7"/>
  <c r="D20" i="2"/>
  <c r="E20" i="2"/>
  <c r="F20" i="2"/>
  <c r="G20" i="2"/>
  <c r="H20" i="2"/>
  <c r="I20" i="2"/>
  <c r="J20" i="2"/>
  <c r="K20" i="2"/>
  <c r="L20" i="2"/>
  <c r="M20" i="2"/>
  <c r="C20" i="2"/>
  <c r="E12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1" i="7" l="1"/>
  <c r="E16" i="7" s="1"/>
  <c r="E17" i="7" s="1"/>
  <c r="E19" i="7" s="1"/>
  <c r="E18" i="7" s="1"/>
  <c r="G9" i="7"/>
  <c r="D52" i="3"/>
  <c r="C20" i="4" s="1"/>
  <c r="D20" i="4" s="1"/>
  <c r="I53" i="3"/>
  <c r="C44" i="3"/>
  <c r="C25" i="3"/>
  <c r="I7" i="3" s="1"/>
  <c r="E15" i="7" l="1"/>
  <c r="G11" i="7"/>
  <c r="G16" i="7" s="1"/>
  <c r="I15" i="7" s="1"/>
  <c r="I3" i="7" s="1"/>
  <c r="F3" i="4" s="1"/>
  <c r="G4" i="4" s="1"/>
  <c r="B24" i="4" s="1"/>
  <c r="G2" i="4" s="1"/>
  <c r="D4" i="4"/>
  <c r="E14" i="7"/>
  <c r="C45" i="3"/>
  <c r="E12" i="3"/>
  <c r="G15" i="7" l="1"/>
  <c r="G17" i="7"/>
  <c r="I17" i="7" s="1"/>
  <c r="I19" i="7" s="1"/>
  <c r="I18" i="7" s="1"/>
  <c r="G14" i="7"/>
  <c r="D7" i="4"/>
  <c r="D8" i="4" s="1"/>
  <c r="D9" i="4" s="1"/>
  <c r="D10" i="4" s="1"/>
  <c r="D5" i="4"/>
  <c r="D53" i="5"/>
  <c r="F4" i="4" l="1"/>
  <c r="F8" i="4" s="1"/>
  <c r="F9" i="4" s="1"/>
  <c r="G19" i="7"/>
  <c r="E4" i="4" s="1"/>
  <c r="E35" i="3"/>
  <c r="G18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C33" i="2" s="1"/>
  <c r="I6" i="3"/>
  <c r="E58" i="3"/>
  <c r="D58" i="3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D33" i="2" l="1"/>
  <c r="D34" i="2" s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C30" i="1" l="1"/>
  <c r="C35" i="1"/>
  <c r="B18" i="1" s="1"/>
  <c r="C31" i="1"/>
  <c r="I31" i="1" s="1"/>
  <c r="I32" i="1" s="1"/>
  <c r="I33" i="1" s="1"/>
  <c r="E20" i="4"/>
  <c r="J16" i="1"/>
  <c r="C27" i="1" l="1"/>
  <c r="I27" i="1" s="1"/>
  <c r="E32" i="1"/>
  <c r="E33" i="1" s="1"/>
  <c r="J10" i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3" i="4" l="1"/>
  <c r="H14" i="1" s="1"/>
  <c r="B17" i="1" s="1"/>
  <c r="D30" i="4"/>
  <c r="D14" i="1"/>
  <c r="F46" i="1" s="1"/>
  <c r="F14" i="1"/>
  <c r="F49" i="1" l="1"/>
  <c r="E50" i="1" s="1"/>
  <c r="F50" i="1" s="1"/>
  <c r="E49" i="1"/>
  <c r="F33" i="4"/>
  <c r="D18" i="1"/>
  <c r="E33" i="4"/>
  <c r="D17" i="1" l="1"/>
  <c r="J25" i="1" s="1"/>
  <c r="D16" i="1"/>
  <c r="J17" i="1"/>
  <c r="F17" i="1"/>
</calcChain>
</file>

<file path=xl/sharedStrings.xml><?xml version="1.0" encoding="utf-8"?>
<sst xmlns="http://schemas.openxmlformats.org/spreadsheetml/2006/main" count="409" uniqueCount="345">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</sst>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7" t="s">
        <v>320</v>
      </c>
      <c r="D3" s="398"/>
      <c r="E3" s="15"/>
      <c r="G3" s="7" t="s">
        <v>2</v>
      </c>
      <c r="I3" s="407" t="s">
        <v>3</v>
      </c>
      <c r="J3" s="408"/>
    </row>
    <row r="4" spans="1:12" ht="15.75" customHeight="1" x14ac:dyDescent="0.3">
      <c r="B4" s="5" t="s">
        <v>4</v>
      </c>
      <c r="C4" s="399" t="s">
        <v>321</v>
      </c>
      <c r="D4" s="400"/>
      <c r="E4" s="6"/>
      <c r="G4" s="5" t="s">
        <v>5</v>
      </c>
      <c r="I4" s="32">
        <v>2.4500000000000002</v>
      </c>
      <c r="J4" s="33" t="s">
        <v>6</v>
      </c>
      <c r="K4" s="152"/>
    </row>
    <row r="5" spans="1:12" ht="15.75" customHeight="1" x14ac:dyDescent="0.3">
      <c r="B5" s="5" t="s">
        <v>7</v>
      </c>
      <c r="C5" s="401">
        <v>44771</v>
      </c>
      <c r="D5" s="400"/>
      <c r="E5" s="122" t="str">
        <f ca="1">IF(C5+30&gt;=TODAY(),"Patience Premium","")</f>
        <v/>
      </c>
      <c r="G5" s="5" t="s">
        <v>8</v>
      </c>
      <c r="I5" s="409">
        <v>1826710016</v>
      </c>
      <c r="J5" s="41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11">
        <f>I4*I5/1000000</f>
        <v>4475.4395392000006</v>
      </c>
      <c r="J6" s="412"/>
      <c r="K6" s="151"/>
    </row>
    <row r="7" spans="1:12" ht="15.75" customHeight="1" x14ac:dyDescent="0.3">
      <c r="B7" s="139" t="s">
        <v>10</v>
      </c>
      <c r="C7" s="145">
        <f>(Data!C39*Exchange_Rate)/I4</f>
        <v>0.14093096208216116</v>
      </c>
      <c r="D7" s="145">
        <f>(Data!C40*Exchange_Rate)/I4</f>
        <v>4.9217512172977313E-3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9.7756934364030723</v>
      </c>
      <c r="J9" s="48">
        <f>IF(I9="NNI","NNI",1/I9)</f>
        <v>0.10229453352906553</v>
      </c>
    </row>
    <row r="10" spans="1:12" ht="15.75" customHeight="1" x14ac:dyDescent="0.3">
      <c r="B10" s="3" t="s">
        <v>268</v>
      </c>
      <c r="C10" s="300" t="s">
        <v>322</v>
      </c>
      <c r="D10" s="300">
        <v>3.8159999999999999E-2</v>
      </c>
      <c r="E10" s="5"/>
      <c r="G10" s="5" t="s">
        <v>14</v>
      </c>
      <c r="I10" s="138">
        <f>I4/(Data!C28*I12*Data!C4/Common_Shares)</f>
        <v>0.85007555702022231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3" t="s">
        <v>271</v>
      </c>
      <c r="C11" s="421">
        <f ca="1">C12-D10</f>
        <v>2.1839999999999998E-2</v>
      </c>
      <c r="D11" s="422"/>
      <c r="E11" s="13"/>
      <c r="G11" s="5" t="s">
        <v>15</v>
      </c>
      <c r="H11" s="6"/>
      <c r="I11" s="419" t="s">
        <v>6</v>
      </c>
      <c r="J11" s="420"/>
    </row>
    <row r="12" spans="1:12" ht="15.75" customHeight="1" thickTop="1" x14ac:dyDescent="0.3">
      <c r="B12" s="314" t="s">
        <v>145</v>
      </c>
      <c r="C12" s="375">
        <f ca="1">IF(C10="CN",8%,6%)*IF($C$5+30&gt;=TODAY(),1.2,1)</f>
        <v>0.06</v>
      </c>
      <c r="D12" s="376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2.4500000000000002</v>
      </c>
      <c r="C16" s="385">
        <v>0.1</v>
      </c>
      <c r="D16" s="159" t="str">
        <f ca="1">IF(B17='FCFF Model'!G19,"Asset Play", H14/B16-1-C16)</f>
        <v>Asset Play</v>
      </c>
      <c r="E16" s="380">
        <f>'FCFF Model'!D11*Exchange_Rate</f>
        <v>0</v>
      </c>
      <c r="F16" s="161">
        <f>E16/B16</f>
        <v>0</v>
      </c>
      <c r="G16" s="388" t="s">
        <v>25</v>
      </c>
      <c r="H16" s="413">
        <f>('FCFF Model'!G19)*Exchange_Rate</f>
        <v>1.7388053570895838</v>
      </c>
      <c r="I16" s="388" t="s">
        <v>26</v>
      </c>
      <c r="J16" s="206">
        <f>B16-$H$16</f>
        <v>0.71119464291041634</v>
      </c>
    </row>
    <row r="17" spans="1:10" ht="15.75" customHeight="1" x14ac:dyDescent="0.3">
      <c r="B17" s="290">
        <f ca="1">MAX(H14/(1+C16),'FCFF Model'!G19*Exchange_Rate)</f>
        <v>1.7388053570895838</v>
      </c>
      <c r="C17" s="386"/>
      <c r="D17" s="289" t="str">
        <f ca="1">IF(B17='FCFF Model'!G19,"Asset Play",H14/B17-1-C16)</f>
        <v>Asset Play</v>
      </c>
      <c r="E17" s="381"/>
      <c r="F17" s="162">
        <f ca="1">E16/B17</f>
        <v>0</v>
      </c>
      <c r="G17" s="389"/>
      <c r="H17" s="414"/>
      <c r="I17" s="389"/>
      <c r="J17" s="205">
        <f ca="1">B17-$H$16</f>
        <v>0</v>
      </c>
    </row>
    <row r="18" spans="1:10" ht="15.75" customHeight="1" x14ac:dyDescent="0.3">
      <c r="B18" s="356">
        <f>C35</f>
        <v>1.86</v>
      </c>
      <c r="C18" s="387"/>
      <c r="D18" s="160" t="str">
        <f ca="1">IF(B17='FCFF Model'!G19,"Asset Play", H14/B18-1-C16)</f>
        <v>Asset Play</v>
      </c>
      <c r="E18" s="382"/>
      <c r="F18" s="163">
        <f>E16/B18</f>
        <v>0</v>
      </c>
      <c r="G18" s="390"/>
      <c r="H18" s="415"/>
      <c r="I18" s="390"/>
      <c r="J18" s="207">
        <f>B18-$H$16</f>
        <v>0.12119464291041626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324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4" t="s">
        <v>323</v>
      </c>
      <c r="D21" s="405"/>
      <c r="E21" s="405"/>
      <c r="F21" s="405"/>
      <c r="G21" s="405"/>
      <c r="H21" s="405"/>
      <c r="I21" s="405"/>
      <c r="J21" s="406"/>
    </row>
    <row r="22" spans="1:10" ht="52.5" customHeight="1" x14ac:dyDescent="0.3">
      <c r="A22" s="6"/>
      <c r="B22" s="24" t="s">
        <v>29</v>
      </c>
      <c r="C22" s="417" t="s">
        <v>325</v>
      </c>
      <c r="D22" s="418"/>
      <c r="E22" s="418"/>
      <c r="F22" s="418"/>
      <c r="G22" s="417" t="s">
        <v>326</v>
      </c>
      <c r="H22" s="417"/>
      <c r="I22" s="418"/>
      <c r="J22" s="418"/>
    </row>
    <row r="23" spans="1:10" ht="52.5" customHeight="1" x14ac:dyDescent="0.3">
      <c r="A23" s="6"/>
      <c r="B23" s="25" t="s">
        <v>30</v>
      </c>
      <c r="C23" s="383" t="s">
        <v>327</v>
      </c>
      <c r="D23" s="384"/>
      <c r="E23" s="384"/>
      <c r="F23" s="384"/>
      <c r="G23" s="383" t="s">
        <v>328</v>
      </c>
      <c r="H23" s="383"/>
      <c r="I23" s="384"/>
      <c r="J23" s="38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4">
        <v>0.15</v>
      </c>
      <c r="I25" s="30" t="s">
        <v>307</v>
      </c>
      <c r="J25" s="355">
        <f ca="1">IF(D17="Asset Play", 'FCFF Model'!G19, H14/(H25+C16+1))</f>
        <v>1.7388053570895838</v>
      </c>
    </row>
    <row r="26" spans="1:10" ht="15.75" customHeight="1" x14ac:dyDescent="0.3">
      <c r="B26" s="23" t="s">
        <v>33</v>
      </c>
      <c r="C26" s="402"/>
      <c r="D26" s="403"/>
      <c r="E26" s="394" t="str">
        <f>IF(C26="","","Action_Planning")</f>
        <v/>
      </c>
      <c r="F26" s="395"/>
      <c r="G26" s="395"/>
      <c r="H26" s="396"/>
      <c r="I26" s="416" t="s">
        <v>34</v>
      </c>
      <c r="J26" s="416"/>
    </row>
    <row r="27" spans="1:10" ht="15.75" customHeight="1" x14ac:dyDescent="0.3">
      <c r="B27" s="23" t="s">
        <v>35</v>
      </c>
      <c r="C27" s="379">
        <f>C31/D25</f>
        <v>0.24179999999999999</v>
      </c>
      <c r="D27" s="378"/>
      <c r="E27" s="377">
        <f>E31/D25</f>
        <v>0</v>
      </c>
      <c r="F27" s="378"/>
      <c r="G27" s="392">
        <f>G31/D25</f>
        <v>0</v>
      </c>
      <c r="H27" s="393"/>
      <c r="I27" s="391">
        <f>C27+E27+G27</f>
        <v>0.24179999999999999</v>
      </c>
      <c r="J27" s="391"/>
    </row>
    <row r="28" spans="1:10" ht="15.75" customHeight="1" x14ac:dyDescent="0.3">
      <c r="B28" s="23" t="s">
        <v>36</v>
      </c>
      <c r="C28" s="366">
        <v>78000</v>
      </c>
      <c r="D28" s="418"/>
      <c r="E28" s="366"/>
      <c r="F28" s="418"/>
      <c r="G28" s="409"/>
      <c r="H28" s="410"/>
      <c r="I28" s="433">
        <f>C28+E28+G28</f>
        <v>78000</v>
      </c>
      <c r="J28" s="433"/>
    </row>
    <row r="29" spans="1:10" ht="15.75" customHeight="1" x14ac:dyDescent="0.3">
      <c r="B29" s="23" t="s">
        <v>37</v>
      </c>
      <c r="C29" s="443">
        <v>1.86</v>
      </c>
      <c r="D29" s="418"/>
      <c r="E29" s="443"/>
      <c r="F29" s="418"/>
      <c r="G29" s="423"/>
      <c r="H29" s="424"/>
      <c r="I29" s="429"/>
      <c r="J29" s="429"/>
    </row>
    <row r="30" spans="1:10" ht="15.75" customHeight="1" x14ac:dyDescent="0.3">
      <c r="B30" s="23" t="s">
        <v>38</v>
      </c>
      <c r="C30" s="431">
        <f>C29*$I$5/1000000</f>
        <v>3397.6806297600001</v>
      </c>
      <c r="D30" s="438"/>
      <c r="E30" s="431">
        <f>E29*$I$5/1000000</f>
        <v>0</v>
      </c>
      <c r="F30" s="438"/>
      <c r="G30" s="425">
        <f>G29*$I$5/1000000</f>
        <v>0</v>
      </c>
      <c r="H30" s="426"/>
      <c r="I30" s="430"/>
      <c r="J30" s="430"/>
    </row>
    <row r="31" spans="1:10" ht="15.75" customHeight="1" x14ac:dyDescent="0.3">
      <c r="B31" s="2" t="s">
        <v>39</v>
      </c>
      <c r="C31" s="439">
        <f>C28*C29</f>
        <v>145080</v>
      </c>
      <c r="D31" s="440"/>
      <c r="E31" s="432">
        <f>E28*E29</f>
        <v>0</v>
      </c>
      <c r="F31" s="441"/>
      <c r="G31" s="427">
        <f>G28*G29</f>
        <v>0</v>
      </c>
      <c r="H31" s="428"/>
      <c r="I31" s="432">
        <f>C31+E31+G31</f>
        <v>145080</v>
      </c>
      <c r="J31" s="432"/>
    </row>
    <row r="32" spans="1:10" ht="15.75" customHeight="1" x14ac:dyDescent="0.3">
      <c r="B32" s="1" t="s">
        <v>40</v>
      </c>
      <c r="C32" s="434"/>
      <c r="D32" s="435"/>
      <c r="E32" s="442">
        <f>IF(C31=0,"-",(C31+E31)/(C28+E28))</f>
        <v>1.86</v>
      </c>
      <c r="F32" s="378"/>
      <c r="G32" s="117"/>
      <c r="H32" s="117"/>
      <c r="I32" s="442">
        <f>IF(I31=0,"",I31/I28)</f>
        <v>1.86</v>
      </c>
      <c r="J32" s="442"/>
    </row>
    <row r="33" spans="2:11" ht="15.75" customHeight="1" x14ac:dyDescent="0.3">
      <c r="B33" s="1" t="s">
        <v>41</v>
      </c>
      <c r="C33" s="436"/>
      <c r="D33" s="437"/>
      <c r="E33" s="431">
        <f>IF(E32="-","-",E32*$I$5/1000000)</f>
        <v>3397.6806297600001</v>
      </c>
      <c r="F33" s="438"/>
      <c r="G33" s="118"/>
      <c r="H33" s="118"/>
      <c r="I33" s="431">
        <f>IF(I32="","",I32*$I$5/1000000)</f>
        <v>3397.6806297600001</v>
      </c>
      <c r="J33" s="431"/>
    </row>
    <row r="34" spans="2:11" ht="15.75" customHeight="1" x14ac:dyDescent="0.3"/>
    <row r="35" spans="2:11" ht="15.75" customHeight="1" x14ac:dyDescent="0.3">
      <c r="B35" s="146" t="s">
        <v>308</v>
      </c>
      <c r="C35" s="364">
        <f>C29</f>
        <v>1.86</v>
      </c>
      <c r="D35" s="365"/>
      <c r="G35" s="370" t="s">
        <v>310</v>
      </c>
      <c r="H35" s="371"/>
      <c r="I35" s="364">
        <v>2.8</v>
      </c>
      <c r="J35" s="365"/>
    </row>
    <row r="36" spans="2:11" ht="15.75" customHeight="1" x14ac:dyDescent="0.3">
      <c r="B36" s="146" t="s">
        <v>309</v>
      </c>
      <c r="C36" s="366">
        <f>C28</f>
        <v>78000</v>
      </c>
      <c r="D36" s="367"/>
      <c r="G36" s="372" t="s">
        <v>332</v>
      </c>
      <c r="H36" s="372"/>
      <c r="I36" s="373">
        <f>IF(C26="",0,I35/C29-1)</f>
        <v>0</v>
      </c>
      <c r="J36" s="374"/>
    </row>
    <row r="37" spans="2:11" ht="15.75" customHeight="1" x14ac:dyDescent="0.3"/>
    <row r="38" spans="2:11" ht="15.75" customHeight="1" x14ac:dyDescent="0.3">
      <c r="B38" s="21" t="s">
        <v>333</v>
      </c>
      <c r="G38" s="72" t="s">
        <v>136</v>
      </c>
      <c r="J38" s="368"/>
      <c r="K38" s="369"/>
    </row>
    <row r="39" spans="2:11" ht="15.75" customHeight="1" x14ac:dyDescent="0.3">
      <c r="B39" s="3" t="s">
        <v>334</v>
      </c>
      <c r="F39" s="214">
        <f>'Qualitative Analysis'!E8</f>
        <v>0.61</v>
      </c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 x14ac:dyDescent="0.3">
      <c r="B41" s="3" t="s">
        <v>336</v>
      </c>
      <c r="E41" s="357"/>
      <c r="F41" s="358">
        <f>'Qualitative Analysis'!E64</f>
        <v>0.56599489795918378</v>
      </c>
    </row>
    <row r="42" spans="2:11" ht="15.75" customHeight="1" x14ac:dyDescent="0.3">
      <c r="B42" s="3" t="s">
        <v>343</v>
      </c>
      <c r="E42" s="357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</row>
    <row r="43" spans="2:11" ht="15.75" customHeight="1" x14ac:dyDescent="0.3">
      <c r="B43" s="3" t="s">
        <v>344</v>
      </c>
      <c r="F43" s="362">
        <v>0.8</v>
      </c>
    </row>
    <row r="44" spans="2:11" ht="15.75" customHeight="1" x14ac:dyDescent="0.3"/>
    <row r="45" spans="2:11" ht="15.75" customHeight="1" x14ac:dyDescent="0.3">
      <c r="B45" s="3" t="s">
        <v>337</v>
      </c>
      <c r="F45" s="358">
        <f>I35/C29-1</f>
        <v>0.50537634408602128</v>
      </c>
    </row>
    <row r="46" spans="2:11" ht="15.75" customHeight="1" x14ac:dyDescent="0.3">
      <c r="B46" s="3" t="s">
        <v>338</v>
      </c>
      <c r="F46" s="358">
        <f ca="1">D14/C29-1</f>
        <v>-0.19114773042746414</v>
      </c>
    </row>
    <row r="47" spans="2:11" ht="15.75" customHeight="1" x14ac:dyDescent="0.3"/>
    <row r="48" spans="2:11" ht="15.75" customHeight="1" x14ac:dyDescent="0.3">
      <c r="B48" s="3" t="s">
        <v>342</v>
      </c>
      <c r="F48" s="214">
        <f>IF(F45&lt;=0,0,AVERAGE(F39:F41,1-F43,E42))</f>
        <v>0.63519897959183669</v>
      </c>
    </row>
    <row r="49" spans="2:8" ht="15.75" customHeight="1" x14ac:dyDescent="0.3">
      <c r="B49" s="3" t="s">
        <v>339</v>
      </c>
      <c r="E49" s="363">
        <f ca="1">F45/ABS(F46)</f>
        <v>2.643904497091579</v>
      </c>
      <c r="F49" s="359">
        <f ca="1">IF(F46&gt;=0,100,F45/ABS(F46))</f>
        <v>2.643904497091579</v>
      </c>
    </row>
    <row r="50" spans="2:8" ht="15.75" customHeight="1" x14ac:dyDescent="0.3">
      <c r="B50" s="3" t="s">
        <v>340</v>
      </c>
      <c r="E50" s="107">
        <f ca="1">MAX(F48-ABS((1-F48)/F49),0)/2</f>
        <v>0.24861042063523917</v>
      </c>
      <c r="F50" s="360">
        <f ca="1">MIN(E50,H50)</f>
        <v>0.24861042063523917</v>
      </c>
      <c r="G50" s="361" t="s">
        <v>341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J38:K38">
    <cfRule type="containsBlanks" priority="7">
      <formula>LEN(TRIM(J38))=0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B485912B-6070-4298-A4D1-7FAA3AA8B793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293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4494199</v>
      </c>
      <c r="E3" s="156" t="str">
        <f>IF((C46-I46)=D3,"", "Error!")</f>
        <v/>
      </c>
      <c r="F3" s="6"/>
      <c r="G3" s="6"/>
      <c r="H3" s="275" t="s">
        <v>255</v>
      </c>
      <c r="I3" s="276">
        <v>4494199</v>
      </c>
      <c r="K3" s="74"/>
    </row>
    <row r="4" spans="1:11" ht="15" customHeight="1" x14ac:dyDescent="0.3">
      <c r="B4" s="5" t="s">
        <v>221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3416630.5116700004</v>
      </c>
      <c r="E6" s="14">
        <f>1-D6/D3</f>
        <v>0.23976875263645414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 x14ac:dyDescent="0.3">
      <c r="D8" s="6"/>
      <c r="H8" s="3" t="s">
        <v>313</v>
      </c>
      <c r="I8" s="69">
        <f>C24/I26</f>
        <v>7.0907199387286193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 x14ac:dyDescent="0.3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4" x14ac:dyDescent="0.3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 x14ac:dyDescent="0.3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 x14ac:dyDescent="0.3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 x14ac:dyDescent="0.3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4">
        <f>D53+D54+D55</f>
        <v>105237</v>
      </c>
      <c r="E52" s="445"/>
      <c r="F52" s="53"/>
      <c r="G52" s="53"/>
    </row>
    <row r="53" spans="2:9" ht="14.5" thickTop="1" x14ac:dyDescent="0.3">
      <c r="B53" s="58" t="s">
        <v>231</v>
      </c>
      <c r="C53" s="6"/>
      <c r="D53" s="447">
        <f>SUM(I11:I13)+SUM(I28:I30)</f>
        <v>105237</v>
      </c>
      <c r="E53" s="440"/>
      <c r="F53" s="5"/>
      <c r="G53" s="5"/>
      <c r="H53" s="3" t="s">
        <v>317</v>
      </c>
      <c r="I53" s="14">
        <f>D53/I3</f>
        <v>2.3416186065637057E-2</v>
      </c>
    </row>
    <row r="54" spans="2:9" ht="14" x14ac:dyDescent="0.3">
      <c r="B54" s="58" t="s">
        <v>131</v>
      </c>
      <c r="C54" s="6"/>
      <c r="D54" s="452">
        <v>0</v>
      </c>
      <c r="E54" s="418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2">
        <v>0</v>
      </c>
      <c r="E55" s="418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6"/>
      <c r="E57" s="446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4" x14ac:dyDescent="0.3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4" x14ac:dyDescent="0.3">
      <c r="B60" s="53" t="s">
        <v>135</v>
      </c>
      <c r="C60" s="6"/>
      <c r="D60" s="450">
        <f>((Dashboard!I6*Data!C4)+D52+E50-C58-C59)</f>
        <v>445897.53920000046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373">
        <f>((C26-C11-C12-C14-C15-C16*G16-C19*G19-C20*G20)-I26)/Data!C7</f>
        <v>-3.5242098265593776E-2</v>
      </c>
      <c r="E63" s="374"/>
    </row>
    <row r="64" spans="2:9" ht="15" customHeight="1" x14ac:dyDescent="0.3">
      <c r="B64" s="3" t="s">
        <v>262</v>
      </c>
      <c r="D64" s="448">
        <v>1.4E-2</v>
      </c>
      <c r="E64" s="449"/>
      <c r="F64" s="266" t="s">
        <v>247</v>
      </c>
    </row>
    <row r="65" spans="2:5" ht="15" customHeight="1" x14ac:dyDescent="0.3">
      <c r="B65" s="292" t="s">
        <v>264</v>
      </c>
      <c r="D65" s="448">
        <v>1.4E-2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7" sqref="C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136</v>
      </c>
    </row>
    <row r="4" spans="1:13" ht="15.75" customHeight="1" x14ac:dyDescent="0.3">
      <c r="B4" s="293" t="s">
        <v>329</v>
      </c>
      <c r="C4" s="294">
        <v>904</v>
      </c>
      <c r="D4" s="260">
        <f>C4/C7</f>
        <v>1.5465072714924309E-3</v>
      </c>
      <c r="E4" s="294">
        <v>0</v>
      </c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330</v>
      </c>
      <c r="C5" s="294">
        <v>549346</v>
      </c>
      <c r="D5" s="260">
        <f>C5/C7</f>
        <v>0.93978714996159396</v>
      </c>
      <c r="E5" s="294">
        <f>C5*0.7</f>
        <v>384542.19999999995</v>
      </c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331</v>
      </c>
      <c r="C6" s="294">
        <v>34293</v>
      </c>
      <c r="D6" s="260">
        <f>C6/C7</f>
        <v>5.866634276691364E-2</v>
      </c>
      <c r="E6" s="294">
        <f>C6*0.7</f>
        <v>24005.1</v>
      </c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138</v>
      </c>
      <c r="C7" s="180">
        <f>C4+C5+C6</f>
        <v>584543</v>
      </c>
      <c r="D7" s="259"/>
      <c r="E7" s="338">
        <f>SUM(E4:E6)</f>
        <v>408547.29999999993</v>
      </c>
      <c r="F7" s="259"/>
      <c r="G7" s="338"/>
      <c r="H7" s="259"/>
      <c r="I7" s="228"/>
      <c r="J7" s="288"/>
      <c r="K7" s="6"/>
      <c r="L7" s="74" t="s">
        <v>265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242</v>
      </c>
      <c r="C16" s="320">
        <f>C11-C13</f>
        <v>-117911</v>
      </c>
      <c r="D16" s="321"/>
      <c r="E16" s="320">
        <f>E11-E13</f>
        <v>-217849.98833000005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143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300</v>
      </c>
      <c r="C18" s="264">
        <f>C19/C9</f>
        <v>-0.46680787046201355</v>
      </c>
      <c r="D18" s="327"/>
      <c r="E18" s="326">
        <f>E19/E9</f>
        <v>-1.2340448104199209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-117911</v>
      </c>
      <c r="D19" s="323"/>
      <c r="E19" s="324">
        <f>IF(E16="","",IF(E16&lt;=0,E16,E16*(1-E17)))</f>
        <v>-217849.98833000005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0.05</v>
      </c>
      <c r="D6" s="226">
        <v>0.05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-5895.55</v>
      </c>
      <c r="D7" s="310">
        <f>D4*D6</f>
        <v>-10892.499416500003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-6.1320871413013588E-2</v>
      </c>
      <c r="D9" s="306">
        <f>D8/(Common_Shares/Data!$C$4)</f>
        <v>-0.11329520673822158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-0.11329520673822158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-0.55446048329940212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3.4000000000000002E-2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273</v>
      </c>
      <c r="C12" s="236">
        <v>0</v>
      </c>
      <c r="D12" s="236">
        <v>0</v>
      </c>
      <c r="E12" s="346"/>
      <c r="F12" s="346"/>
      <c r="G12" s="230">
        <f>G9*D27</f>
        <v>-1.1329520673822158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 x14ac:dyDescent="0.3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 x14ac:dyDescent="0.3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 x14ac:dyDescent="0.3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55" t="str">
        <f>IF(F21+G21=G19,"⇒","Error!")</f>
        <v>Error!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0</v>
      </c>
      <c r="D21" s="219">
        <f>C21/(Dashboard!I5/Data!C4)</f>
        <v>0</v>
      </c>
      <c r="E21" s="455"/>
      <c r="F21" s="148">
        <f>D18</f>
        <v>0.91227451834369311</v>
      </c>
      <c r="G21" s="147">
        <f>SUM(D19:D21)</f>
        <v>0.94578895110191363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59" t="s">
        <v>226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294</v>
      </c>
      <c r="C25" s="14">
        <f>1/D25</f>
        <v>0.125</v>
      </c>
      <c r="D25" s="298">
        <v>8</v>
      </c>
      <c r="E25" s="206">
        <f ca="1">G9*D25/G14</f>
        <v>-0.80665864534155618</v>
      </c>
      <c r="F25" s="456">
        <f ca="1">SUM(C15:F15)</f>
        <v>0</v>
      </c>
      <c r="G25" s="206">
        <f ca="1">$F$25+E25+$G$19</f>
        <v>0.93214671174802766</v>
      </c>
      <c r="I25" s="74"/>
    </row>
    <row r="26" spans="1:9" ht="15.75" customHeight="1" x14ac:dyDescent="0.3">
      <c r="B26" s="30" t="s">
        <v>295</v>
      </c>
      <c r="C26" s="350">
        <f>1/D26</f>
        <v>0.1111111111111111</v>
      </c>
      <c r="D26" s="351">
        <v>9</v>
      </c>
      <c r="E26" s="352">
        <f ca="1">G9*D26/G14</f>
        <v>-0.90749097600925066</v>
      </c>
      <c r="F26" s="457"/>
      <c r="G26" s="352">
        <f ca="1">$F$25+E26+$G$19</f>
        <v>0.83131438108033318</v>
      </c>
      <c r="I26" s="74"/>
    </row>
    <row r="27" spans="1:9" ht="15.75" customHeight="1" x14ac:dyDescent="0.3">
      <c r="B27" s="302" t="s">
        <v>302</v>
      </c>
      <c r="C27" s="303">
        <f t="shared" ref="C27" si="0">1/D27</f>
        <v>0.1</v>
      </c>
      <c r="D27" s="315">
        <v>10</v>
      </c>
      <c r="E27" s="207">
        <f ca="1">G9*D27/G14</f>
        <v>-1.0083233066769453</v>
      </c>
      <c r="F27" s="458"/>
      <c r="G27" s="207">
        <f ca="1">$F$25+E27+$G$19</f>
        <v>0.73048205041263858</v>
      </c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148</v>
      </c>
      <c r="D32" s="454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1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4" x14ac:dyDescent="0.3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 x14ac:dyDescent="0.3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5" t="s">
        <v>304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5"/>
    </row>
    <row r="20" spans="2:7" ht="15" customHeight="1" x14ac:dyDescent="0.3">
      <c r="B20" s="53" t="s">
        <v>163</v>
      </c>
      <c r="D20" s="100">
        <f t="shared" si="1"/>
        <v>2</v>
      </c>
      <c r="E20" s="31" t="s">
        <v>150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4</v>
      </c>
      <c r="E22" s="31" t="s">
        <v>160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5"/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/>
    </row>
    <row r="26" spans="2:7" ht="15" customHeight="1" x14ac:dyDescent="0.3">
      <c r="B26" s="53" t="s">
        <v>280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281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5"/>
    </row>
    <row r="32" spans="2:7" ht="15" customHeight="1" x14ac:dyDescent="0.3">
      <c r="B32" s="53" t="s">
        <v>282</v>
      </c>
      <c r="D32" s="100">
        <f t="shared" si="3"/>
        <v>1</v>
      </c>
      <c r="E32" s="31" t="s">
        <v>158</v>
      </c>
      <c r="F32" s="6"/>
      <c r="G32" s="295"/>
    </row>
    <row r="33" spans="2:7" ht="15" customHeight="1" x14ac:dyDescent="0.3">
      <c r="B33" s="53" t="s">
        <v>283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284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301</v>
      </c>
      <c r="D35" s="100">
        <f t="shared" si="3"/>
        <v>2</v>
      </c>
      <c r="E35" s="31" t="s">
        <v>150</v>
      </c>
      <c r="G35" s="295"/>
    </row>
    <row r="36" spans="2:7" ht="15" customHeight="1" x14ac:dyDescent="0.3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5"/>
    </row>
    <row r="38" spans="2:7" ht="15" customHeight="1" x14ac:dyDescent="0.3">
      <c r="B38" s="53" t="s">
        <v>285</v>
      </c>
      <c r="D38" s="100">
        <f t="shared" si="4"/>
        <v>0</v>
      </c>
      <c r="E38" s="31" t="s">
        <v>173</v>
      </c>
      <c r="F38" s="6"/>
      <c r="G38" s="295"/>
    </row>
    <row r="39" spans="2:7" ht="15" customHeight="1" x14ac:dyDescent="0.3">
      <c r="B39" s="53" t="s">
        <v>286</v>
      </c>
      <c r="D39" s="100">
        <f t="shared" si="4"/>
        <v>0</v>
      </c>
      <c r="E39" s="31" t="s">
        <v>173</v>
      </c>
      <c r="F39" s="6"/>
      <c r="G39" s="295"/>
    </row>
    <row r="40" spans="2:7" ht="15" customHeight="1" x14ac:dyDescent="0.3">
      <c r="B40" s="53" t="s">
        <v>287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288</v>
      </c>
      <c r="D41" s="100">
        <f t="shared" si="4"/>
        <v>4</v>
      </c>
      <c r="E41" s="31" t="s">
        <v>160</v>
      </c>
      <c r="G41" s="295"/>
    </row>
    <row r="42" spans="2:7" ht="15" customHeight="1" x14ac:dyDescent="0.3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2</v>
      </c>
      <c r="E46" s="31" t="s">
        <v>150</v>
      </c>
      <c r="F46" s="6"/>
      <c r="G46" s="295" t="s">
        <v>305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289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5"/>
      <c r="H53" s="53"/>
    </row>
    <row r="54" spans="2:8" ht="15" customHeight="1" x14ac:dyDescent="0.3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1</v>
      </c>
      <c r="E57" s="31" t="s">
        <v>158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1</v>
      </c>
      <c r="E58" s="31" t="s">
        <v>158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2023-03-23T09:10:49Z</dcterms:modified>
  <cp:category/>
  <cp:contentStatus/>
</cp:coreProperties>
</file>