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2EA0CB65-C805-4A1D-A9D3-E17D2E43B8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/>
  <c r="C36" i="1"/>
  <c r="E7" i="3"/>
  <c r="C35" i="1"/>
  <c r="B18" i="1" s="1"/>
  <c r="E6" i="1"/>
  <c r="E16" i="1"/>
  <c r="C11" i="4"/>
  <c r="G13" i="7"/>
  <c r="G11" i="7"/>
  <c r="C14" i="7"/>
  <c r="E6" i="7"/>
  <c r="G6" i="7" s="1"/>
  <c r="E7" i="7"/>
  <c r="G7" i="7" s="1"/>
  <c r="E5" i="7"/>
  <c r="G5" i="7" s="1"/>
  <c r="E4" i="7"/>
  <c r="G4" i="7" s="1"/>
  <c r="C8" i="7"/>
  <c r="D5" i="7" s="1"/>
  <c r="D6" i="7" l="1"/>
  <c r="G8" i="7"/>
  <c r="E8" i="7"/>
  <c r="F5" i="7" s="1"/>
  <c r="C12" i="1"/>
  <c r="D12" i="4"/>
  <c r="D7" i="7"/>
  <c r="G33" i="4"/>
  <c r="G9" i="7" l="1"/>
  <c r="G14" i="7"/>
  <c r="F6" i="7"/>
  <c r="F4" i="7"/>
  <c r="D4" i="7"/>
  <c r="D20" i="2"/>
  <c r="E20" i="2"/>
  <c r="F20" i="2"/>
  <c r="G20" i="2"/>
  <c r="H20" i="2"/>
  <c r="I20" i="2"/>
  <c r="J20" i="2"/>
  <c r="K20" i="2"/>
  <c r="L20" i="2"/>
  <c r="M20" i="2"/>
  <c r="C20" i="2"/>
  <c r="E14" i="7" l="1"/>
  <c r="F7" i="7"/>
  <c r="G16" i="3"/>
  <c r="I10" i="7" l="1"/>
  <c r="I12" i="7" s="1"/>
  <c r="I17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4" i="3" l="1"/>
  <c r="D4" i="3"/>
  <c r="D6" i="1"/>
  <c r="E9" i="3"/>
  <c r="C3" i="7" l="1"/>
  <c r="C28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C44" i="3"/>
  <c r="C25" i="3"/>
  <c r="I7" i="3" s="1"/>
  <c r="G18" i="7" l="1"/>
  <c r="I18" i="7" s="1"/>
  <c r="E16" i="7"/>
  <c r="E15" i="7"/>
  <c r="G16" i="7"/>
  <c r="I16" i="7"/>
  <c r="I3" i="7" s="1"/>
  <c r="F3" i="4" s="1"/>
  <c r="G4" i="4" s="1"/>
  <c r="B24" i="4" s="1"/>
  <c r="G2" i="4" s="1"/>
  <c r="G15" i="7"/>
  <c r="D4" i="4"/>
  <c r="D7" i="4" s="1"/>
  <c r="E19" i="7"/>
  <c r="I20" i="7"/>
  <c r="F4" i="4" s="1"/>
  <c r="C45" i="3"/>
  <c r="E12" i="3"/>
  <c r="G20" i="7" l="1"/>
  <c r="E4" i="4" s="1"/>
  <c r="E7" i="4" s="1"/>
  <c r="D8" i="4"/>
  <c r="D9" i="4" s="1"/>
  <c r="D10" i="4" s="1"/>
  <c r="D5" i="4"/>
  <c r="F8" i="4"/>
  <c r="F9" i="4" s="1"/>
  <c r="F15" i="4" s="1"/>
  <c r="F5" i="4"/>
  <c r="I19" i="7"/>
  <c r="D53" i="5"/>
  <c r="E8" i="4" l="1"/>
  <c r="E9" i="4" s="1"/>
  <c r="E5" i="4"/>
  <c r="G19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D6" i="5"/>
  <c r="E6" i="5" s="1"/>
  <c r="D33" i="2"/>
  <c r="D34" i="2" s="1"/>
  <c r="C33" i="2"/>
  <c r="C34" i="2" s="1"/>
  <c r="C35" i="2" s="1"/>
  <c r="E33" i="2"/>
  <c r="E34" i="2" s="1"/>
  <c r="D55" i="5"/>
  <c r="E55" i="5" s="1"/>
  <c r="E32" i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E33" i="1" l="1"/>
  <c r="C70" i="2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J44" i="3"/>
  <c r="D18" i="5"/>
  <c r="D57" i="2"/>
  <c r="E57" i="2" s="1"/>
  <c r="F57" i="2"/>
  <c r="B58" i="2"/>
  <c r="D50" i="3" l="1"/>
  <c r="D6" i="3"/>
  <c r="D7" i="3" s="1"/>
  <c r="C21" i="4"/>
  <c r="D60" i="3"/>
  <c r="D58" i="2"/>
  <c r="E58" i="2" s="1"/>
  <c r="F58" i="2"/>
  <c r="B59" i="2"/>
  <c r="D21" i="4" l="1"/>
  <c r="G21" i="4" s="1"/>
  <c r="G18" i="4"/>
  <c r="G19" i="4" s="1"/>
  <c r="D49" i="3"/>
  <c r="D59" i="2"/>
  <c r="E59" i="2" s="1"/>
  <c r="B60" i="2"/>
  <c r="F59" i="2"/>
  <c r="H16" i="1" l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2" i="5" l="1"/>
  <c r="E64" i="5" l="1"/>
  <c r="D64" i="5" s="1"/>
  <c r="E7" i="5" s="1"/>
  <c r="D7" i="5" s="1"/>
  <c r="D5" i="5"/>
  <c r="E5" i="5" l="1"/>
  <c r="D8" i="5"/>
  <c r="E8" i="5" s="1"/>
  <c r="C11" i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E25" i="4"/>
  <c r="G25" i="4" s="1"/>
  <c r="C29" i="4" s="1"/>
  <c r="E26" i="4"/>
  <c r="G26" i="4" s="1"/>
  <c r="E29" i="4" s="1"/>
  <c r="I35" i="1" s="1"/>
  <c r="F45" i="1" s="1"/>
  <c r="F42" i="1" l="1"/>
  <c r="E42" i="1" s="1"/>
  <c r="F48" i="1" s="1"/>
  <c r="I36" i="1"/>
  <c r="D14" i="1"/>
  <c r="F46" i="1" s="1"/>
  <c r="F49" i="1" s="1"/>
  <c r="F14" i="1"/>
  <c r="C32" i="4"/>
  <c r="D29" i="4"/>
  <c r="G15" i="4"/>
  <c r="E50" i="1" l="1"/>
  <c r="F50" i="1" s="1"/>
  <c r="E49" i="1"/>
  <c r="F33" i="4"/>
  <c r="F32" i="4"/>
  <c r="H14" i="1"/>
  <c r="J25" i="1" s="1"/>
  <c r="B17" i="1" l="1"/>
  <c r="D16" i="1"/>
  <c r="D18" i="1"/>
  <c r="D17" i="1" l="1"/>
  <c r="F17" i="1"/>
  <c r="J17" i="1"/>
  <c r="E32" i="4"/>
  <c r="E33" i="4" l="1"/>
</calcChain>
</file>

<file path=xl/sharedStrings.xml><?xml version="1.0" encoding="utf-8"?>
<sst xmlns="http://schemas.openxmlformats.org/spreadsheetml/2006/main" count="435" uniqueCount="370">
  <si>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</si>
  <si>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</si>
  <si>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</si>
  <si>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</si>
  <si>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</si>
  <si>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</si>
  <si>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</si>
  <si>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</si>
  <si>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</si>
  <si>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</si>
  <si>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</si>
  <si>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</si>
  <si>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</si>
  <si>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</si>
  <si>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</si>
  <si>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</si>
  <si>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</si>
  <si>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</si>
  <si>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</si>
  <si>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</si>
  <si>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</si>
  <si>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</si>
  <si>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</si>
  <si>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</si>
  <si>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</si>
  <si>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</si>
  <si>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</si>
  <si>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</si>
  <si>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</si>
  <si>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</si>
  <si>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</si>
  <si>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</si>
  <si>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</si>
  <si>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</si>
  <si>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</si>
  <si>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</si>
  <si>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</si>
  <si>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</si>
  <si>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</si>
  <si>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</si>
  <si>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</si>
  <si>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</si>
  <si>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</si>
  <si>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</si>
  <si>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</si>
  <si>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</si>
  <si>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</si>
  <si>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</si>
  <si>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</si>
  <si>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</si>
  <si>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</si>
  <si>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</si>
  <si>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</si>
  <si>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</si>
  <si>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</si>
  <si>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</si>
  <si>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</si>
  <si>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</si>
  <si>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</si>
  <si>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</si>
  <si>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</si>
  <si>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</si>
  <si>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</si>
  <si>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</si>
  <si>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</si>
  <si>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</si>
  <si>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</si>
  <si>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</si>
  <si>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</si>
  <si>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</si>
  <si>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</si>
  <si>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</si>
  <si>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</si>
  <si>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</si>
  <si>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</si>
  <si>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</si>
  <si>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</si>
  <si>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</si>
  <si>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</si>
  <si>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</si>
  <si>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</si>
  <si>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</si>
  <si>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</si>
  <si>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</si>
  <si>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</si>
  <si>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</si>
  <si>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</si>
  <si>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</si>
  <si>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</si>
  <si>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</si>
  <si>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</si>
  <si>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</si>
  <si>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</si>
  <si>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</si>
  <si>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</si>
  <si>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</si>
  <si>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</si>
  <si>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</si>
  <si>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</si>
  <si>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</si>
  <si>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</si>
  <si>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</si>
  <si>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</si>
  <si>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</si>
  <si>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</si>
  <si>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</si>
  <si>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</si>
  <si>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</si>
  <si>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</si>
  <si>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</si>
  <si>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</si>
  <si>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</si>
  <si>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</si>
  <si>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</si>
  <si>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</si>
  <si>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</si>
  <si>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</si>
  <si>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</si>
  <si>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</si>
  <si>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</si>
  <si>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</si>
  <si>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</si>
  <si>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</si>
  <si>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</si>
  <si>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</si>
  <si>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</si>
  <si>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</si>
  <si>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</si>
  <si>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</si>
  <si>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</si>
  <si>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</si>
  <si>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</si>
  <si>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</si>
  <si>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</si>
  <si>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</si>
  <si>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</si>
  <si>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</si>
  <si>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</si>
  <si>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</si>
  <si>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</si>
  <si>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</si>
  <si>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</si>
  <si>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</si>
  <si>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</si>
  <si>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</si>
  <si>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</si>
  <si>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</si>
  <si>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</si>
  <si>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</si>
  <si>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</si>
  <si>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</si>
  <si>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</si>
  <si>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</si>
  <si>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</si>
  <si>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</si>
  <si>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</si>
  <si>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</si>
  <si>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</si>
  <si>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</si>
  <si>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</si>
  <si>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</si>
  <si>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</si>
  <si>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</si>
  <si>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</si>
  <si>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</si>
  <si>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</si>
  <si>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</si>
  <si>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</si>
  <si>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</si>
  <si>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</si>
  <si>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</si>
  <si>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</si>
  <si>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</si>
  <si>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</si>
  <si>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</si>
  <si>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</si>
  <si>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</si>
  <si>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</si>
  <si>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</si>
  <si>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</si>
  <si>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</si>
  <si>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</si>
  <si>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</si>
  <si>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</si>
  <si>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</si>
  <si>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</si>
  <si>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</si>
  <si>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</si>
  <si>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</si>
  <si>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</si>
  <si>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</si>
  <si>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</si>
  <si>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</si>
  <si>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</si>
  <si>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</si>
  <si>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</si>
  <si>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</si>
  <si>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</si>
  <si>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</si>
  <si>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</si>
  <si>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</si>
  <si>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</si>
  <si>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</si>
  <si>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</si>
  <si>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</si>
  <si>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</si>
  <si>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</si>
  <si>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</si>
  <si>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</si>
  <si>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</si>
  <si>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</si>
  <si>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</si>
  <si>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</si>
  <si>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</si>
  <si>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</si>
  <si>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</si>
  <si>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</si>
  <si>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</si>
  <si>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</si>
  <si>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</si>
  <si>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</si>
  <si>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</si>
  <si>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</si>
  <si>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</si>
  <si>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</si>
  <si>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</si>
  <si>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</si>
  <si>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</si>
  <si>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</si>
  <si>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</si>
  <si>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</si>
  <si>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</si>
  <si>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</si>
  <si>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</si>
  <si>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</si>
  <si>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</si>
  <si>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</si>
  <si>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</si>
  <si>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</si>
  <si>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</si>
  <si>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</si>
  <si>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</si>
  <si>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</si>
  <si>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</si>
  <si>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</si>
  <si>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</si>
  <si>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</si>
  <si>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</si>
  <si>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</si>
  <si>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</si>
  <si>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</si>
  <si>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</si>
  <si>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</si>
  <si>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</si>
  <si>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</si>
  <si>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</si>
  <si>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</si>
  <si>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</si>
  <si>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</si>
  <si>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</si>
  <si>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</si>
  <si>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</si>
  <si>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</si>
  <si>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</si>
  <si>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</si>
  <si>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</si>
  <si>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</si>
  <si>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</si>
  <si>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</si>
  <si>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</si>
  <si>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</si>
  <si>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</si>
  <si>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</si>
  <si>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</si>
  <si>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</si>
  <si>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</si>
  <si>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</si>
  <si>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</si>
  <si>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</si>
  <si>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</si>
  <si>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</si>
  <si>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</si>
  <si>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</si>
  <si>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</si>
  <si>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</si>
  <si>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</si>
  <si>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</si>
  <si>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</si>
  <si>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</si>
  <si>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</si>
  <si>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</si>
  <si>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</si>
  <si>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</si>
  <si>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</si>
  <si>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</si>
  <si>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</si>
  <si>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</si>
  <si>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</si>
  <si>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</si>
  <si>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</si>
  <si>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</si>
  <si>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</si>
  <si>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</si>
  <si>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</si>
  <si>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</si>
  <si>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</si>
  <si>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</si>
  <si>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</si>
  <si>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6601.HK</t>
  </si>
  <si>
    <t>CHEERWIN GP</t>
  </si>
  <si>
    <t>CNY</t>
  </si>
  <si>
    <t xml:space="preserve">Asset Plays </t>
  </si>
  <si>
    <t>Consumer Discretionary, 12.4y</t>
  </si>
  <si>
    <t>家居護理</t>
  </si>
  <si>
    <t>個人護理</t>
  </si>
  <si>
    <t>寵物產品</t>
  </si>
  <si>
    <t>其他</t>
  </si>
  <si>
    <t>清潔及空氣護理產品、家居清潔及空氣護理產品</t>
  </si>
  <si>
    <t>電器及其他產品、其他包括家居用品，其中概無任何產品單獨佔一大部分</t>
  </si>
  <si>
    <t>寵物產品是最有潜力的市场</t>
  </si>
  <si>
    <t>家居清潔产品生产商</t>
  </si>
  <si>
    <t>1. 宠物护理市场容量及基数都较小，不足以取代家居清潔業務
2. 宠物护理市场竞争大，现在公司优势很小</t>
  </si>
  <si>
    <t>1. 宠物护理市场广阔，是可持续增长的业务</t>
  </si>
  <si>
    <t>1. 家居清潔業務处于红海市场，容量可能持续萎缩
2. 家居清潔業務高端化难度很大，进口产品竞争力强</t>
  </si>
  <si>
    <t>1. Does the company have simple revenue and expense streams to understand?</t>
  </si>
  <si>
    <t>2. Does the company have simple and meaningful assets base to value?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</si>
  <si>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</si>
  <si>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</si>
  <si>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</si>
  <si>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a non-cylical business?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</si>
  <si>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</si>
  <si>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</si>
  <si>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</si>
  <si>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</si>
  <si>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</si>
  <si>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</si>
  <si>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</si>
  <si>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</si>
  <si>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</si>
  <si>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</si>
  <si>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</si>
  <si>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</si>
  <si>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</si>
  <si>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Base Case</t>
  </si>
  <si>
    <t>Reasonable Case</t>
  </si>
  <si>
    <t>PV of Value Inflow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</si>
  <si>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</si>
  <si>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</si>
  <si>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</si>
  <si>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</si>
  <si>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</si>
  <si>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</si>
  <si>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</si>
  <si>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</si>
  <si>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</si>
  <si>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1. 可依托母公司立白的支持
2. 通过IPO积累大量现金，Strong Balance Sheet with no debt
3. 家居清潔業務市场地位比较稳定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</si>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</sst>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  <numFmt numFmtId="186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3" fontId="2" fillId="10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8" xfId="0" applyFont="1" applyBorder="1"/>
    <xf numFmtId="0" fontId="16" fillId="0" borderId="9" xfId="0" applyFont="1" applyBorder="1"/>
    <xf numFmtId="10" fontId="2" fillId="10" borderId="42" xfId="0" applyNumberFormat="1" applyFont="1" applyFill="1" applyBorder="1" applyAlignment="1">
      <alignment horizontal="center"/>
    </xf>
    <xf numFmtId="186" fontId="18" fillId="0" borderId="0" xfId="0" applyNumberFormat="1" applyFont="1"/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4" borderId="13" xfId="0" applyFont="1" applyFill="1" applyBorder="1"/>
    <xf numFmtId="3" fontId="1" fillId="0" borderId="13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8" fontId="4" fillId="11" borderId="13" xfId="0" applyNumberFormat="1" applyFont="1" applyFill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0" fontId="1" fillId="14" borderId="2" xfId="0" applyFont="1" applyFill="1" applyBorder="1"/>
    <xf numFmtId="0" fontId="7" fillId="14" borderId="2" xfId="0" applyFont="1" applyFill="1" applyBorder="1"/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4" borderId="20" xfId="0" applyFont="1" applyFill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2" zoomScaleNormal="100" workbookViewId="0">
      <selection activeCell="G31" sqref="C31:H31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9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6" t="s">
        <v>308</v>
      </c>
      <c r="D3" s="387"/>
      <c r="E3" s="15"/>
      <c r="G3" s="7" t="s">
        <v>2</v>
      </c>
      <c r="I3" s="398" t="s">
        <v>3</v>
      </c>
      <c r="J3" s="399"/>
    </row>
    <row r="4" spans="1:12" ht="15.75" customHeight="1" x14ac:dyDescent="0.3">
      <c r="B4" s="5" t="s">
        <v>4</v>
      </c>
      <c r="C4" s="388" t="s">
        <v>309</v>
      </c>
      <c r="D4" s="389"/>
      <c r="E4" s="6"/>
      <c r="G4" s="5" t="s">
        <v>5</v>
      </c>
      <c r="I4" s="32">
        <v>1.82</v>
      </c>
      <c r="J4" s="33" t="s">
        <v>6</v>
      </c>
      <c r="K4" s="173"/>
    </row>
    <row r="5" spans="1:12" ht="15.75" customHeight="1" x14ac:dyDescent="0.3">
      <c r="B5" s="5" t="s">
        <v>7</v>
      </c>
      <c r="C5" s="390">
        <v>44931</v>
      </c>
      <c r="D5" s="389"/>
      <c r="E5" s="143" t="str">
        <f ca="1">IF(C5+30&gt;=TODAY(),"Patience Premium","")</f>
        <v/>
      </c>
      <c r="G5" s="5" t="s">
        <v>8</v>
      </c>
      <c r="I5" s="384">
        <v>1333333500</v>
      </c>
      <c r="J5" s="385"/>
      <c r="K5" s="172"/>
      <c r="L5" s="106"/>
    </row>
    <row r="6" spans="1:12" ht="15.75" customHeight="1" x14ac:dyDescent="0.3">
      <c r="B6" s="12" t="s">
        <v>285</v>
      </c>
      <c r="C6" s="291">
        <v>8</v>
      </c>
      <c r="D6" s="292">
        <f>EOMONTH(EDATE(Asset_Model!D9,C6),0)</f>
        <v>44985</v>
      </c>
      <c r="E6" s="363">
        <f>Data!C3</f>
        <v>44561</v>
      </c>
      <c r="G6" s="155" t="s">
        <v>9</v>
      </c>
      <c r="H6" s="154"/>
      <c r="I6" s="400">
        <f>I4*I5/1000000</f>
        <v>2426.6669700000002</v>
      </c>
      <c r="J6" s="401"/>
      <c r="K6" s="172"/>
    </row>
    <row r="7" spans="1:12" ht="15.75" customHeight="1" x14ac:dyDescent="0.3">
      <c r="B7" s="160" t="s">
        <v>10</v>
      </c>
      <c r="C7" s="166">
        <f>(Data!C39)/I4</f>
        <v>2.4175958516466721E-2</v>
      </c>
      <c r="D7" s="166">
        <f>(Data!C40)/I4</f>
        <v>0</v>
      </c>
      <c r="E7" s="174"/>
      <c r="F7" s="6"/>
    </row>
    <row r="8" spans="1:12" ht="15.75" customHeight="1" x14ac:dyDescent="0.3">
      <c r="C8" s="117"/>
      <c r="E8" s="6"/>
      <c r="G8" s="21" t="s">
        <v>11</v>
      </c>
      <c r="H8" s="153"/>
      <c r="I8" s="6"/>
      <c r="J8" s="6"/>
    </row>
    <row r="9" spans="1:12" ht="15.75" customHeight="1" x14ac:dyDescent="0.3">
      <c r="B9" s="21" t="s">
        <v>12</v>
      </c>
      <c r="C9" s="322"/>
      <c r="D9" s="320"/>
      <c r="E9" s="5"/>
      <c r="G9" s="5" t="s">
        <v>13</v>
      </c>
      <c r="I9" s="142">
        <f>IF(Data!F3&lt;=0,"NNI",I4/((Data!F3*I12)/(I5/Data!C4)))</f>
        <v>23.120919078488924</v>
      </c>
      <c r="J9" s="48">
        <f>IF(I9="NNI","NNI",1/I9)</f>
        <v>4.3250875823979372E-2</v>
      </c>
    </row>
    <row r="10" spans="1:12" ht="15.75" customHeight="1" x14ac:dyDescent="0.3">
      <c r="B10" s="3" t="s">
        <v>302</v>
      </c>
      <c r="C10" s="321" t="s">
        <v>303</v>
      </c>
      <c r="D10" s="321">
        <v>2.8999999999999998E-2</v>
      </c>
      <c r="E10" s="5"/>
      <c r="G10" s="5" t="s">
        <v>14</v>
      </c>
      <c r="I10" s="159">
        <f>I4/(Data!C28*I12*Data!C4/Common_Shares)</f>
        <v>0.77845454514372525</v>
      </c>
      <c r="J10" s="151" t="str">
        <f>IF(Asset_Model!D60/'FCFF Model'!C4&lt;0,"Negative EV",Asset_Model!D60/'FCFF Model'!C4)</f>
        <v>Negative EV</v>
      </c>
    </row>
    <row r="11" spans="1:12" ht="15.75" customHeight="1" thickBot="1" x14ac:dyDescent="0.35">
      <c r="B11" s="334" t="s">
        <v>304</v>
      </c>
      <c r="C11" s="413">
        <f ca="1">C12-D10</f>
        <v>5.1000000000000004E-2</v>
      </c>
      <c r="D11" s="414"/>
      <c r="E11" s="13"/>
      <c r="G11" s="5" t="s">
        <v>15</v>
      </c>
      <c r="H11" s="6"/>
      <c r="I11" s="411" t="s">
        <v>310</v>
      </c>
      <c r="J11" s="412"/>
    </row>
    <row r="12" spans="1:12" ht="15.75" customHeight="1" thickTop="1" x14ac:dyDescent="0.3">
      <c r="B12" s="335" t="s">
        <v>178</v>
      </c>
      <c r="C12" s="422">
        <f ca="1">IF(C10="CN",8%,6%)*IF($C$5+30&gt;=TODAY(),1.2,1)</f>
        <v>0.08</v>
      </c>
      <c r="D12" s="423"/>
      <c r="G12" s="155" t="s">
        <v>16</v>
      </c>
      <c r="H12" s="154"/>
      <c r="I12" s="156">
        <v>1.1396682895075876</v>
      </c>
      <c r="J12" s="157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8" t="s">
        <v>246</v>
      </c>
      <c r="D14" s="205">
        <f ca="1">MIN('FCFF Model'!C29,'FCFF Model'!E29)</f>
        <v>1.9665662648393085</v>
      </c>
      <c r="E14" s="148" t="s">
        <v>263</v>
      </c>
      <c r="F14" s="205">
        <f ca="1">MAX('FCFF Model'!C29,'FCFF Model'!E29)</f>
        <v>2.2505172075854749</v>
      </c>
      <c r="G14" s="206" t="s">
        <v>24</v>
      </c>
      <c r="H14" s="214">
        <f ca="1">IF('FCFF Model'!C32&lt;0, "Error", 'FCFF Model'!C32)</f>
        <v>2.0969615600099205</v>
      </c>
      <c r="I14" s="154"/>
      <c r="J14" s="154"/>
    </row>
    <row r="15" spans="1:12" ht="15.75" customHeight="1" x14ac:dyDescent="0.3">
      <c r="A15" s="6"/>
      <c r="B15" s="117"/>
      <c r="C15" s="259" t="s">
        <v>279</v>
      </c>
      <c r="D15" s="110" t="s">
        <v>19</v>
      </c>
      <c r="E15" s="110" t="s">
        <v>20</v>
      </c>
      <c r="F15" s="110" t="s">
        <v>21</v>
      </c>
      <c r="G15" s="160"/>
      <c r="H15" s="81" t="s">
        <v>23</v>
      </c>
      <c r="J15" s="149" t="s">
        <v>22</v>
      </c>
    </row>
    <row r="16" spans="1:12" ht="15.75" customHeight="1" x14ac:dyDescent="0.3">
      <c r="B16" s="152">
        <f>I4</f>
        <v>1.82</v>
      </c>
      <c r="C16" s="429">
        <v>0.1</v>
      </c>
      <c r="D16" s="180">
        <f ca="1">H14/B16-1-C16</f>
        <v>5.2176681324132085E-2</v>
      </c>
      <c r="E16" s="426">
        <f>'FCFF Model'!D11*Exchange_Rate</f>
        <v>1.9146427263727471E-2</v>
      </c>
      <c r="F16" s="182">
        <f>E16/B16</f>
        <v>1.0520014980070038E-2</v>
      </c>
      <c r="G16" s="405" t="s">
        <v>25</v>
      </c>
      <c r="H16" s="402">
        <f>('FCFF Model'!G19)*Exchange_Rate</f>
        <v>1.9545061983737699</v>
      </c>
      <c r="I16" s="405" t="s">
        <v>26</v>
      </c>
      <c r="J16" s="227">
        <f>B16-$H$16</f>
        <v>-0.13450619837376987</v>
      </c>
    </row>
    <row r="17" spans="1:10" ht="15.75" customHeight="1" x14ac:dyDescent="0.3">
      <c r="B17" s="311">
        <f ca="1">H14/(1+C16)</f>
        <v>1.9063286909181094</v>
      </c>
      <c r="C17" s="430"/>
      <c r="D17" s="310">
        <f ca="1">H14/B17-1-C16</f>
        <v>0</v>
      </c>
      <c r="E17" s="427"/>
      <c r="F17" s="183">
        <f ca="1">E16/B17</f>
        <v>1.0043612811863171E-2</v>
      </c>
      <c r="G17" s="406"/>
      <c r="H17" s="403"/>
      <c r="I17" s="406"/>
      <c r="J17" s="226">
        <f ca="1">B17-$H$16</f>
        <v>-4.8177507455660518E-2</v>
      </c>
    </row>
    <row r="18" spans="1:10" ht="15.75" customHeight="1" x14ac:dyDescent="0.3">
      <c r="B18" s="364">
        <f>C35</f>
        <v>1.75</v>
      </c>
      <c r="C18" s="431"/>
      <c r="D18" s="181">
        <f ca="1">H14/B18-1-C16</f>
        <v>9.8263748577097493E-2</v>
      </c>
      <c r="E18" s="428"/>
      <c r="F18" s="184">
        <f>E16/B18</f>
        <v>1.0940815579272841E-2</v>
      </c>
      <c r="G18" s="407"/>
      <c r="H18" s="404"/>
      <c r="I18" s="407"/>
      <c r="J18" s="228">
        <f>B18-$H$16</f>
        <v>-0.20450619837376993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283</v>
      </c>
      <c r="D20" s="312" t="s">
        <v>311</v>
      </c>
      <c r="E20" s="287" t="s">
        <v>293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3" t="s">
        <v>320</v>
      </c>
      <c r="D21" s="394"/>
      <c r="E21" s="394"/>
      <c r="F21" s="394"/>
      <c r="G21" s="394"/>
      <c r="H21" s="394"/>
      <c r="I21" s="394"/>
      <c r="J21" s="395"/>
    </row>
    <row r="22" spans="1:10" ht="52.5" customHeight="1" x14ac:dyDescent="0.3">
      <c r="A22" s="6"/>
      <c r="B22" s="24" t="s">
        <v>29</v>
      </c>
      <c r="C22" s="409" t="s">
        <v>355</v>
      </c>
      <c r="D22" s="410"/>
      <c r="E22" s="410"/>
      <c r="F22" s="410"/>
      <c r="G22" s="409" t="s">
        <v>323</v>
      </c>
      <c r="H22" s="409"/>
      <c r="I22" s="410"/>
      <c r="J22" s="410"/>
    </row>
    <row r="23" spans="1:10" ht="52.5" customHeight="1" x14ac:dyDescent="0.3">
      <c r="A23" s="6"/>
      <c r="B23" s="25" t="s">
        <v>30</v>
      </c>
      <c r="C23" s="396" t="s">
        <v>322</v>
      </c>
      <c r="D23" s="397"/>
      <c r="E23" s="397"/>
      <c r="F23" s="397"/>
      <c r="G23" s="396" t="s">
        <v>321</v>
      </c>
      <c r="H23" s="396"/>
      <c r="I23" s="397"/>
      <c r="J23" s="397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348</v>
      </c>
      <c r="G25" s="12"/>
      <c r="H25" s="365">
        <v>0.15</v>
      </c>
      <c r="I25" s="30" t="s">
        <v>349</v>
      </c>
      <c r="J25" s="366">
        <f ca="1">H14/(H25+C16+1)</f>
        <v>1.6775692480079365</v>
      </c>
    </row>
    <row r="26" spans="1:10" ht="15.75" customHeight="1" x14ac:dyDescent="0.3">
      <c r="B26" s="23" t="s">
        <v>33</v>
      </c>
      <c r="C26" s="391">
        <v>44932</v>
      </c>
      <c r="D26" s="392"/>
      <c r="E26" s="442" t="str">
        <f>IF(C26="","","Action_Planning")</f>
        <v>Action_Planning</v>
      </c>
      <c r="F26" s="443"/>
      <c r="G26" s="443"/>
      <c r="H26" s="444"/>
      <c r="I26" s="408" t="s">
        <v>34</v>
      </c>
      <c r="J26" s="408"/>
    </row>
    <row r="27" spans="1:10" ht="15.75" customHeight="1" x14ac:dyDescent="0.3">
      <c r="B27" s="23" t="s">
        <v>35</v>
      </c>
      <c r="C27" s="425">
        <f>C31/D25</f>
        <v>0.11666666666666667</v>
      </c>
      <c r="D27" s="383"/>
      <c r="E27" s="424">
        <f>E31/D25</f>
        <v>2.9166666666666667E-2</v>
      </c>
      <c r="F27" s="383"/>
      <c r="G27" s="416">
        <f>G31/D25</f>
        <v>0.13333333333333333</v>
      </c>
      <c r="H27" s="417"/>
      <c r="I27" s="415">
        <f>C27+E27+G27</f>
        <v>0.27916666666666667</v>
      </c>
      <c r="J27" s="415"/>
    </row>
    <row r="28" spans="1:10" ht="15.75" customHeight="1" x14ac:dyDescent="0.3">
      <c r="B28" s="23" t="s">
        <v>36</v>
      </c>
      <c r="C28" s="420">
        <v>40000</v>
      </c>
      <c r="D28" s="410"/>
      <c r="E28" s="420">
        <v>10000</v>
      </c>
      <c r="F28" s="410"/>
      <c r="G28" s="384">
        <v>50000</v>
      </c>
      <c r="H28" s="385"/>
      <c r="I28" s="419">
        <f>C28+E28+G28</f>
        <v>100000</v>
      </c>
      <c r="J28" s="419"/>
    </row>
    <row r="29" spans="1:10" ht="15.75" customHeight="1" x14ac:dyDescent="0.3">
      <c r="B29" s="23" t="s">
        <v>37</v>
      </c>
      <c r="C29" s="434">
        <v>1.75</v>
      </c>
      <c r="D29" s="410"/>
      <c r="E29" s="434">
        <v>1.75</v>
      </c>
      <c r="F29" s="410"/>
      <c r="G29" s="447">
        <v>1.6</v>
      </c>
      <c r="H29" s="448"/>
      <c r="I29" s="418"/>
      <c r="J29" s="418"/>
    </row>
    <row r="30" spans="1:10" ht="15.75" customHeight="1" x14ac:dyDescent="0.3">
      <c r="B30" s="23" t="s">
        <v>38</v>
      </c>
      <c r="C30" s="432">
        <f>C29*$I$5/1000000</f>
        <v>2333.3336250000002</v>
      </c>
      <c r="D30" s="433"/>
      <c r="E30" s="432">
        <f>E29*$I$5/1000000</f>
        <v>2333.3336250000002</v>
      </c>
      <c r="F30" s="433"/>
      <c r="G30" s="449">
        <f>G29*$I$5/1000000</f>
        <v>2133.3335999999999</v>
      </c>
      <c r="H30" s="450"/>
      <c r="I30" s="453"/>
      <c r="J30" s="453"/>
    </row>
    <row r="31" spans="1:10" ht="15.75" customHeight="1" x14ac:dyDescent="0.3">
      <c r="B31" s="2" t="s">
        <v>39</v>
      </c>
      <c r="C31" s="378">
        <f>C28*C29</f>
        <v>70000</v>
      </c>
      <c r="D31" s="379"/>
      <c r="E31" s="380">
        <f>E28*E29</f>
        <v>17500</v>
      </c>
      <c r="F31" s="381"/>
      <c r="G31" s="451">
        <f>G28*G29</f>
        <v>80000</v>
      </c>
      <c r="H31" s="452"/>
      <c r="I31" s="380">
        <f>C31+E31+G31</f>
        <v>167500</v>
      </c>
      <c r="J31" s="380"/>
    </row>
    <row r="32" spans="1:10" ht="15.75" customHeight="1" x14ac:dyDescent="0.3">
      <c r="B32" s="1" t="s">
        <v>40</v>
      </c>
      <c r="C32" s="435"/>
      <c r="D32" s="436"/>
      <c r="E32" s="382">
        <f>IF(C31=0,"-",(C31+E31)/(C28+E28))</f>
        <v>1.75</v>
      </c>
      <c r="F32" s="383"/>
      <c r="G32" s="138"/>
      <c r="H32" s="138"/>
      <c r="I32" s="382">
        <f>IF(I31=0,"",I31/I28)</f>
        <v>1.675</v>
      </c>
      <c r="J32" s="382"/>
    </row>
    <row r="33" spans="2:10" ht="15.75" customHeight="1" x14ac:dyDescent="0.3">
      <c r="B33" s="1" t="s">
        <v>41</v>
      </c>
      <c r="C33" s="437"/>
      <c r="D33" s="438"/>
      <c r="E33" s="432">
        <f>IF(E32="-","-",E32*$I$5/1000000)</f>
        <v>2333.3336250000002</v>
      </c>
      <c r="F33" s="433"/>
      <c r="G33" s="139"/>
      <c r="H33" s="139"/>
      <c r="I33" s="432">
        <f>IF(I32="","",I32*$I$5/1000000)</f>
        <v>2233.3336125000001</v>
      </c>
      <c r="J33" s="432"/>
    </row>
    <row r="34" spans="2:10" ht="15.75" customHeight="1" x14ac:dyDescent="0.3"/>
    <row r="35" spans="2:10" ht="15.75" customHeight="1" x14ac:dyDescent="0.3">
      <c r="B35" s="3" t="s">
        <v>346</v>
      </c>
      <c r="C35" s="376">
        <f>E29</f>
        <v>1.75</v>
      </c>
      <c r="D35" s="377"/>
      <c r="G35" s="445" t="s">
        <v>350</v>
      </c>
      <c r="H35" s="446"/>
      <c r="I35" s="376">
        <f ca="1">'FCFF Model'!E29</f>
        <v>2.2505172075854749</v>
      </c>
      <c r="J35" s="377"/>
    </row>
    <row r="36" spans="2:10" ht="15.75" customHeight="1" x14ac:dyDescent="0.3">
      <c r="B36" s="3" t="s">
        <v>347</v>
      </c>
      <c r="C36" s="420">
        <f>E28</f>
        <v>10000</v>
      </c>
      <c r="D36" s="421"/>
      <c r="G36" s="439" t="s">
        <v>354</v>
      </c>
      <c r="H36" s="439"/>
      <c r="I36" s="440">
        <f ca="1">IF(C26="",0,I35/C29-1)</f>
        <v>0.28600983290598569</v>
      </c>
      <c r="J36" s="441"/>
    </row>
    <row r="37" spans="2:10" ht="15.75" customHeight="1" x14ac:dyDescent="0.3"/>
    <row r="38" spans="2:10" ht="15.75" customHeight="1" x14ac:dyDescent="0.3">
      <c r="B38" s="21" t="s">
        <v>356</v>
      </c>
      <c r="G38" s="373" t="s">
        <v>169</v>
      </c>
      <c r="H38" s="373"/>
      <c r="I38" s="373"/>
      <c r="J38" s="373"/>
    </row>
    <row r="39" spans="2:10" ht="15.75" customHeight="1" x14ac:dyDescent="0.3">
      <c r="B39" s="3" t="s">
        <v>357</v>
      </c>
      <c r="F39" s="235">
        <f>'Qualitative Analysis'!E8</f>
        <v>0.48000000000000009</v>
      </c>
      <c r="G39" s="372"/>
      <c r="H39" s="137"/>
      <c r="I39" s="137"/>
      <c r="J39" s="137"/>
    </row>
    <row r="40" spans="2:10" ht="15.75" customHeight="1" x14ac:dyDescent="0.3">
      <c r="B40" s="3" t="s">
        <v>358</v>
      </c>
      <c r="F40" s="235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 x14ac:dyDescent="0.3">
      <c r="B41" s="3" t="s">
        <v>359</v>
      </c>
      <c r="E41" s="367"/>
      <c r="F41" s="368">
        <f>'Qualitative Analysis'!E64</f>
        <v>0.45921768707482991</v>
      </c>
      <c r="G41" s="372" t="s">
        <v>360</v>
      </c>
      <c r="H41" s="137"/>
      <c r="I41" s="137"/>
      <c r="J41" s="137"/>
    </row>
    <row r="42" spans="2:10" ht="15.75" customHeight="1" x14ac:dyDescent="0.3">
      <c r="B42" s="3" t="s">
        <v>368</v>
      </c>
      <c r="E42" s="367">
        <f ca="1">IF(F42="Strongly disagree",0,IF(F42="disagree",1,IF(F42="So-so",2,IF(F42="agree",3,4))))/4</f>
        <v>0.75</v>
      </c>
      <c r="F42" s="123" t="str">
        <f ca="1">IF(F45&lt;D10,"Strongly Disagree",IF(F45&lt;10%,"Disagree",IF(F45&gt;=30%,"Strongly Agree",IF(F45&gt;=20%,"Agree","So-so"))))</f>
        <v>Agree</v>
      </c>
      <c r="G42" s="95" t="s">
        <v>361</v>
      </c>
      <c r="H42" s="95"/>
      <c r="I42" s="95"/>
      <c r="J42" s="95"/>
    </row>
    <row r="43" spans="2:10" ht="15.75" customHeight="1" x14ac:dyDescent="0.3">
      <c r="B43" s="3" t="s">
        <v>369</v>
      </c>
      <c r="F43" s="374">
        <f>AVERAGE(80%*0.5,0.6)</f>
        <v>0.5</v>
      </c>
      <c r="G43" s="137"/>
      <c r="H43" s="137"/>
      <c r="I43" s="137"/>
      <c r="J43" s="137"/>
    </row>
    <row r="44" spans="2:10" ht="15.75" customHeight="1" x14ac:dyDescent="0.3"/>
    <row r="45" spans="2:10" ht="15.75" customHeight="1" x14ac:dyDescent="0.3">
      <c r="B45" s="3" t="s">
        <v>362</v>
      </c>
      <c r="F45" s="368">
        <f ca="1">I35/C29-1</f>
        <v>0.28600983290598569</v>
      </c>
    </row>
    <row r="46" spans="2:10" ht="15.75" customHeight="1" x14ac:dyDescent="0.3">
      <c r="B46" s="3" t="s">
        <v>363</v>
      </c>
      <c r="F46" s="368">
        <f ca="1">D14/C29-1</f>
        <v>0.12375215133674766</v>
      </c>
    </row>
    <row r="47" spans="2:10" ht="15.75" customHeight="1" x14ac:dyDescent="0.3"/>
    <row r="48" spans="2:10" ht="15.75" customHeight="1" x14ac:dyDescent="0.3">
      <c r="B48" s="3" t="s">
        <v>364</v>
      </c>
      <c r="F48" s="235">
        <f ca="1">IF(F45&lt;=0,0,AVERAGE(F39:F41,1-F43,E42))</f>
        <v>0.59784353741496599</v>
      </c>
      <c r="G48" s="95"/>
    </row>
    <row r="49" spans="2:8" ht="15.75" customHeight="1" x14ac:dyDescent="0.3">
      <c r="B49" s="3" t="s">
        <v>365</v>
      </c>
      <c r="E49" s="375">
        <f ca="1">F45/ABS(F46)</f>
        <v>2.3111503906522901</v>
      </c>
      <c r="F49" s="369">
        <f ca="1">IF(F46&gt;=0,100,F45/ABS(F46))</f>
        <v>100</v>
      </c>
      <c r="G49" s="95"/>
    </row>
    <row r="50" spans="2:8" ht="15.75" customHeight="1" x14ac:dyDescent="0.3">
      <c r="B50" s="3" t="s">
        <v>366</v>
      </c>
      <c r="E50" s="128">
        <f ca="1">MAX(F48-ABS((1-F48)/F49),0)/2</f>
        <v>0.29691098639455782</v>
      </c>
      <c r="F50" s="370">
        <f ca="1">MIN(E50,H50)</f>
        <v>0.29691098639455782</v>
      </c>
      <c r="G50" s="371" t="s">
        <v>367</v>
      </c>
      <c r="H50" s="99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6:H36"/>
    <mergeCell ref="I36:J36"/>
    <mergeCell ref="I32:J32"/>
    <mergeCell ref="E26:H26"/>
    <mergeCell ref="G35:H35"/>
    <mergeCell ref="G29:H29"/>
    <mergeCell ref="G30:H30"/>
    <mergeCell ref="G31:H31"/>
    <mergeCell ref="I30:J30"/>
    <mergeCell ref="I31:J31"/>
    <mergeCell ref="I35:J35"/>
    <mergeCell ref="I33:J33"/>
    <mergeCell ref="C36:D36"/>
    <mergeCell ref="C12:D12"/>
    <mergeCell ref="E27:F27"/>
    <mergeCell ref="C27:D27"/>
    <mergeCell ref="E16:E18"/>
    <mergeCell ref="C16:C18"/>
    <mergeCell ref="C22:F22"/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G16:G18"/>
    <mergeCell ref="I27:J27"/>
    <mergeCell ref="G27:H27"/>
    <mergeCell ref="I29:J29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11:D11"/>
    <mergeCell ref="G23:J23"/>
    <mergeCell ref="C35:D35"/>
    <mergeCell ref="C31:D31"/>
    <mergeCell ref="E31:F31"/>
    <mergeCell ref="E32:F32"/>
    <mergeCell ref="G28:H28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5">
      <formula>LEN(TRIM(I35))=0</formula>
    </cfRule>
  </conditionalFormatting>
  <dataValidations disablePrompts="1"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4F39980-E89F-4A27-9BCC-02EE39BCDEC6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C43" sqref="C4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70">
        <v>44561</v>
      </c>
      <c r="D3" s="6"/>
      <c r="E3" s="200">
        <v>1</v>
      </c>
      <c r="F3" s="198">
        <f t="array" ref="F3">AVERAGE(C19:INDEX(C19:M19,1,E3))</f>
        <v>92093</v>
      </c>
      <c r="G3" s="6"/>
      <c r="H3" s="5"/>
      <c r="I3" s="6"/>
      <c r="J3" s="195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9">
        <f>AVERAGE(C16:INDEX(C16:M16,1,E4))</f>
        <v>72006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300">
        <f>C3</f>
        <v>44561</v>
      </c>
      <c r="D6" s="301">
        <f>EOMONTH(EDATE(C6,-12),0)</f>
        <v>44196</v>
      </c>
      <c r="E6" s="301">
        <f t="shared" ref="E6:M6" si="0">EOMONTH(EDATE(D6,-12),0)</f>
        <v>43830</v>
      </c>
      <c r="F6" s="301">
        <f t="shared" si="0"/>
        <v>43465</v>
      </c>
      <c r="G6" s="301">
        <f t="shared" si="0"/>
        <v>43100</v>
      </c>
      <c r="H6" s="301">
        <f t="shared" si="0"/>
        <v>42735</v>
      </c>
      <c r="I6" s="301">
        <f t="shared" si="0"/>
        <v>42369</v>
      </c>
      <c r="J6" s="301">
        <f t="shared" si="0"/>
        <v>42004</v>
      </c>
      <c r="K6" s="301">
        <f t="shared" si="0"/>
        <v>41639</v>
      </c>
      <c r="L6" s="301">
        <f t="shared" si="0"/>
        <v>41274</v>
      </c>
      <c r="M6" s="301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62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1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62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1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62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1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1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3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1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4">
        <f>IF(C14="","",C14*(1-Operation!$D$18))</f>
        <v>72006</v>
      </c>
      <c r="D16" s="164">
        <f>IF(D14="","",D14*(1-Operation!$D$18))</f>
        <v>275712</v>
      </c>
      <c r="E16" s="164">
        <f>IF(E14="","",E14*(1-Operation!$D$18))</f>
        <v>224001</v>
      </c>
      <c r="F16" s="164" t="str">
        <f>IF(F14="","",F14*(1-Operation!$D$18))</f>
        <v/>
      </c>
      <c r="G16" s="164" t="str">
        <f>IF(G14="","",G14*(1-Operation!$D$18))</f>
        <v/>
      </c>
      <c r="H16" s="164" t="str">
        <f>IF(H14="","",H14*(1-Operation!$D$18))</f>
        <v/>
      </c>
      <c r="I16" s="164" t="str">
        <f>IF(I14="","",I14*(1-Operation!$D$18))</f>
        <v/>
      </c>
      <c r="J16" s="164" t="str">
        <f>IF(J14="","",J14*(1-Operation!$D$18))</f>
        <v/>
      </c>
      <c r="K16" s="164" t="str">
        <f>IF(K14="","",K14*(1-Operation!$D$18))</f>
        <v/>
      </c>
      <c r="L16" s="164" t="str">
        <f>IF(L14="","",L14*(1-Operation!$D$18))</f>
        <v/>
      </c>
      <c r="M16" s="264" t="str">
        <f>IF(M14="","",M14*(1-Operation!$D$18))</f>
        <v/>
      </c>
      <c r="N16" s="6"/>
    </row>
    <row r="17" spans="1:14" ht="15.75" customHeight="1" x14ac:dyDescent="0.3">
      <c r="A17" s="9"/>
      <c r="B17" s="163" t="s">
        <v>55</v>
      </c>
      <c r="C17" s="150">
        <f t="shared" ref="C17:M17" si="7">IF(C7="","",C16/C7)</f>
        <v>4.0700740522180902E-2</v>
      </c>
      <c r="D17" s="150">
        <f t="shared" si="7"/>
        <v>0.16197829338590986</v>
      </c>
      <c r="E17" s="150">
        <f t="shared" si="7"/>
        <v>0.16192039624057217</v>
      </c>
      <c r="F17" s="150" t="str">
        <f t="shared" si="7"/>
        <v/>
      </c>
      <c r="G17" s="150" t="str">
        <f t="shared" si="7"/>
        <v/>
      </c>
      <c r="H17" s="150" t="str">
        <f t="shared" si="7"/>
        <v/>
      </c>
      <c r="I17" s="150" t="str">
        <f t="shared" si="7"/>
        <v/>
      </c>
      <c r="J17" s="150" t="str">
        <f t="shared" si="7"/>
        <v/>
      </c>
      <c r="K17" s="150" t="str">
        <f t="shared" si="7"/>
        <v/>
      </c>
      <c r="L17" s="150" t="str">
        <f t="shared" si="7"/>
        <v/>
      </c>
      <c r="M17" s="265" t="str">
        <f t="shared" si="7"/>
        <v/>
      </c>
      <c r="N17" s="6"/>
    </row>
    <row r="18" spans="1:14" ht="15.75" customHeight="1" x14ac:dyDescent="0.3">
      <c r="A18" s="9"/>
      <c r="B18" s="44" t="s">
        <v>286</v>
      </c>
      <c r="C18" s="165">
        <v>1613</v>
      </c>
      <c r="D18" s="165">
        <v>2645</v>
      </c>
      <c r="E18" s="165">
        <v>299</v>
      </c>
      <c r="F18" s="165"/>
      <c r="G18" s="165"/>
      <c r="H18" s="165"/>
      <c r="I18" s="165"/>
      <c r="J18" s="165"/>
      <c r="K18" s="165"/>
      <c r="L18" s="165"/>
      <c r="M18" s="266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62"/>
      <c r="N19" s="6"/>
    </row>
    <row r="20" spans="1:14" ht="15.75" customHeight="1" x14ac:dyDescent="0.3">
      <c r="A20" s="9"/>
      <c r="B20" s="44" t="s">
        <v>300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1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7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62"/>
      <c r="N21" s="6"/>
    </row>
    <row r="22" spans="1:14" ht="15.75" customHeight="1" x14ac:dyDescent="0.3">
      <c r="A22" s="9"/>
      <c r="B22" s="44" t="s">
        <v>58</v>
      </c>
      <c r="C22" s="197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62"/>
      <c r="N22" s="6"/>
    </row>
    <row r="23" spans="1:14" ht="15.5" customHeight="1" x14ac:dyDescent="0.3">
      <c r="A23" s="9"/>
      <c r="B23" s="44" t="s">
        <v>59</v>
      </c>
      <c r="C23" s="197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62"/>
      <c r="N23" s="6"/>
    </row>
    <row r="24" spans="1:14" ht="15.75" customHeight="1" x14ac:dyDescent="0.3">
      <c r="A24" s="9"/>
      <c r="B24" s="162" t="s">
        <v>60</v>
      </c>
      <c r="C24" s="294">
        <v>5517</v>
      </c>
      <c r="D24" s="161">
        <v>1783</v>
      </c>
      <c r="E24" s="161">
        <v>3225</v>
      </c>
      <c r="F24" s="161"/>
      <c r="G24" s="161"/>
      <c r="H24" s="161"/>
      <c r="I24" s="161"/>
      <c r="J24" s="161"/>
      <c r="K24" s="161"/>
      <c r="L24" s="161"/>
      <c r="M24" s="267"/>
      <c r="N24" s="6"/>
    </row>
    <row r="25" spans="1:14" ht="15.75" customHeight="1" x14ac:dyDescent="0.3">
      <c r="A25" s="9"/>
      <c r="B25" s="44" t="s">
        <v>61</v>
      </c>
      <c r="C25" s="197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62"/>
      <c r="N25" s="6"/>
    </row>
    <row r="26" spans="1:14" ht="15.75" customHeight="1" x14ac:dyDescent="0.3">
      <c r="A26" s="9"/>
      <c r="B26" s="162" t="s">
        <v>62</v>
      </c>
      <c r="C26" s="196">
        <v>9392</v>
      </c>
      <c r="D26" s="161">
        <v>5096</v>
      </c>
      <c r="E26" s="161">
        <v>6880</v>
      </c>
      <c r="F26" s="161"/>
      <c r="G26" s="161"/>
      <c r="H26" s="161"/>
      <c r="I26" s="161"/>
      <c r="J26" s="161"/>
      <c r="K26" s="161"/>
      <c r="L26" s="161"/>
      <c r="M26" s="267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3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7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62"/>
      <c r="N28" s="6"/>
    </row>
    <row r="29" spans="1:14" ht="15.75" customHeight="1" x14ac:dyDescent="0.3">
      <c r="A29" s="9"/>
      <c r="B29" s="162" t="s">
        <v>240</v>
      </c>
      <c r="C29" s="196">
        <v>2733761</v>
      </c>
      <c r="D29" s="161">
        <v>247681</v>
      </c>
      <c r="E29" s="161">
        <v>13234</v>
      </c>
      <c r="F29" s="161"/>
      <c r="G29" s="161"/>
      <c r="H29" s="161"/>
      <c r="I29" s="161"/>
      <c r="J29" s="161"/>
      <c r="K29" s="161"/>
      <c r="L29" s="161"/>
      <c r="M29" s="267"/>
      <c r="N29" s="6"/>
    </row>
    <row r="30" spans="1:14" ht="15.75" customHeight="1" x14ac:dyDescent="0.3">
      <c r="A30" s="9"/>
      <c r="B30" s="44" t="s">
        <v>65</v>
      </c>
      <c r="C30" s="197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62"/>
      <c r="N30" s="6"/>
    </row>
    <row r="31" spans="1:14" ht="15.75" customHeight="1" x14ac:dyDescent="0.3">
      <c r="A31" s="9"/>
      <c r="B31" s="44" t="s">
        <v>264</v>
      </c>
      <c r="C31" s="197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62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1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9">
        <f>IF(D7="","",(C7-D7)*Asset_Model!$D$65)</f>
        <v>5735.4567999999999</v>
      </c>
      <c r="D33" s="269">
        <f>IF(E7="","",(D7-E7)*Asset_Model!$D$65)</f>
        <v>27285.171199999997</v>
      </c>
      <c r="E33" s="269" t="str">
        <f>IF(F7="","",(E7-F7)*Asset_Model!$D$65)</f>
        <v/>
      </c>
      <c r="F33" s="269" t="str">
        <f>IF(G7="","",(F7-G7)*Asset_Model!$D$65)</f>
        <v/>
      </c>
      <c r="G33" s="269" t="str">
        <f>IF(H7="","",(G7-H7)*Asset_Model!$D$65)</f>
        <v/>
      </c>
      <c r="H33" s="269" t="str">
        <f>IF(I7="","",(H7-I7)*Asset_Model!$D$65)</f>
        <v/>
      </c>
      <c r="I33" s="269" t="str">
        <f>IF(J7="","",(I7-J7)*Asset_Model!$D$65)</f>
        <v/>
      </c>
      <c r="J33" s="269" t="str">
        <f>IF(K7="","",(J7-K7)*Asset_Model!$D$65)</f>
        <v/>
      </c>
      <c r="K33" s="269" t="str">
        <f>IF(L7="","",(K7-L7)*Asset_Model!$D$65)</f>
        <v/>
      </c>
      <c r="L33" s="269" t="str">
        <f>IF(M7="","",(L7-M7)*Asset_Model!$D$65)</f>
        <v/>
      </c>
      <c r="M33" s="270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4">
        <f t="shared" ref="C34:M34" si="11">IF(D7="","",C30-D30+C33)</f>
        <v>30824.4568</v>
      </c>
      <c r="D34" s="164">
        <f t="shared" si="11"/>
        <v>40938.171199999997</v>
      </c>
      <c r="E34" s="164" t="str">
        <f t="shared" si="11"/>
        <v/>
      </c>
      <c r="F34" s="164" t="str">
        <f t="shared" si="11"/>
        <v/>
      </c>
      <c r="G34" s="164" t="str">
        <f t="shared" si="11"/>
        <v/>
      </c>
      <c r="H34" s="164" t="str">
        <f t="shared" si="11"/>
        <v/>
      </c>
      <c r="I34" s="164" t="str">
        <f t="shared" si="11"/>
        <v/>
      </c>
      <c r="J34" s="164" t="str">
        <f t="shared" si="11"/>
        <v/>
      </c>
      <c r="K34" s="164" t="str">
        <f t="shared" si="11"/>
        <v/>
      </c>
      <c r="L34" s="164" t="str">
        <f t="shared" si="11"/>
        <v/>
      </c>
      <c r="M34" s="264" t="str">
        <f t="shared" si="11"/>
        <v/>
      </c>
      <c r="N34" s="6"/>
    </row>
    <row r="35" spans="1:14" ht="15.75" customHeight="1" x14ac:dyDescent="0.3">
      <c r="A35" s="9"/>
      <c r="B35" s="268" t="s">
        <v>69</v>
      </c>
      <c r="C35" s="260">
        <f t="shared" ref="C35:M35" si="12">IF(C34="","",C34/C16)</f>
        <v>0.42808178207371606</v>
      </c>
      <c r="D35" s="260">
        <f t="shared" si="12"/>
        <v>0.14848164461467037</v>
      </c>
      <c r="E35" s="260" t="str">
        <f t="shared" si="12"/>
        <v/>
      </c>
      <c r="F35" s="260" t="str">
        <f t="shared" si="12"/>
        <v/>
      </c>
      <c r="G35" s="260" t="str">
        <f t="shared" si="12"/>
        <v/>
      </c>
      <c r="H35" s="260" t="str">
        <f t="shared" si="12"/>
        <v/>
      </c>
      <c r="I35" s="260" t="str">
        <f t="shared" si="12"/>
        <v/>
      </c>
      <c r="J35" s="260" t="str">
        <f t="shared" si="12"/>
        <v/>
      </c>
      <c r="K35" s="260" t="str">
        <f t="shared" si="12"/>
        <v/>
      </c>
      <c r="L35" s="260" t="str">
        <f t="shared" si="12"/>
        <v/>
      </c>
      <c r="M35" s="261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9" t="s">
        <v>287</v>
      </c>
      <c r="C37" s="186">
        <v>58667</v>
      </c>
      <c r="D37" s="186">
        <v>221311</v>
      </c>
      <c r="E37" s="186">
        <v>220950</v>
      </c>
      <c r="F37" s="186"/>
      <c r="G37" s="186"/>
      <c r="H37" s="186"/>
      <c r="I37" s="186"/>
      <c r="J37" s="186"/>
      <c r="K37" s="186"/>
      <c r="L37" s="186"/>
      <c r="M37" s="187"/>
      <c r="N37" s="6"/>
    </row>
    <row r="38" spans="1:14" ht="15.75" customHeight="1" x14ac:dyDescent="0.3">
      <c r="A38" s="9"/>
      <c r="B38" s="163" t="s">
        <v>71</v>
      </c>
      <c r="C38" s="185">
        <v>0</v>
      </c>
      <c r="D38" s="185">
        <v>0</v>
      </c>
      <c r="E38" s="185">
        <v>0</v>
      </c>
      <c r="F38" s="185"/>
      <c r="G38" s="185"/>
      <c r="H38" s="185"/>
      <c r="I38" s="185"/>
      <c r="J38" s="185"/>
      <c r="K38" s="185"/>
      <c r="L38" s="185"/>
      <c r="M38" s="188"/>
      <c r="N38" s="6"/>
    </row>
    <row r="39" spans="1:14" ht="15.75" customHeight="1" x14ac:dyDescent="0.3">
      <c r="A39" s="9"/>
      <c r="B39" s="163" t="s">
        <v>236</v>
      </c>
      <c r="C39" s="191">
        <f t="shared" ref="C39:M39" si="13">IF(C37="","",C37*$C$4/Common_Shares)</f>
        <v>4.4000244499969435E-2</v>
      </c>
      <c r="D39" s="191">
        <f t="shared" si="13"/>
        <v>0.16598322925209635</v>
      </c>
      <c r="E39" s="191">
        <f t="shared" si="13"/>
        <v>0.1657124792859401</v>
      </c>
      <c r="F39" s="191" t="str">
        <f t="shared" si="13"/>
        <v/>
      </c>
      <c r="G39" s="191" t="str">
        <f t="shared" si="13"/>
        <v/>
      </c>
      <c r="H39" s="191" t="str">
        <f t="shared" si="13"/>
        <v/>
      </c>
      <c r="I39" s="191" t="str">
        <f t="shared" si="13"/>
        <v/>
      </c>
      <c r="J39" s="191" t="str">
        <f t="shared" si="13"/>
        <v/>
      </c>
      <c r="K39" s="191" t="str">
        <f t="shared" si="13"/>
        <v/>
      </c>
      <c r="L39" s="191" t="str">
        <f t="shared" si="13"/>
        <v/>
      </c>
      <c r="M39" s="192" t="str">
        <f t="shared" si="13"/>
        <v/>
      </c>
      <c r="N39" s="6"/>
    </row>
    <row r="40" spans="1:14" ht="15.75" customHeight="1" x14ac:dyDescent="0.3">
      <c r="A40" s="9"/>
      <c r="B40" s="190" t="s">
        <v>237</v>
      </c>
      <c r="C40" s="193">
        <f t="shared" ref="C40:M40" si="14">IF(C38="","",C38*$C$4/Common_Shares)</f>
        <v>0</v>
      </c>
      <c r="D40" s="193">
        <f t="shared" si="14"/>
        <v>0</v>
      </c>
      <c r="E40" s="193">
        <f t="shared" si="14"/>
        <v>0</v>
      </c>
      <c r="F40" s="193" t="str">
        <f t="shared" si="14"/>
        <v/>
      </c>
      <c r="G40" s="193" t="str">
        <f t="shared" si="14"/>
        <v/>
      </c>
      <c r="H40" s="193" t="str">
        <f t="shared" si="14"/>
        <v/>
      </c>
      <c r="I40" s="193" t="str">
        <f t="shared" si="14"/>
        <v/>
      </c>
      <c r="J40" s="193" t="str">
        <f t="shared" si="14"/>
        <v/>
      </c>
      <c r="K40" s="193" t="str">
        <f t="shared" si="14"/>
        <v/>
      </c>
      <c r="L40" s="193" t="str">
        <f t="shared" si="14"/>
        <v/>
      </c>
      <c r="M40" s="194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3.4336784926034427E-3</v>
      </c>
      <c r="D42" s="48">
        <f t="shared" ref="D42:M42" si="15">IF(D29="","",D25/D29)</f>
        <v>2.0574852330215075E-2</v>
      </c>
      <c r="E42" s="48">
        <f t="shared" si="15"/>
        <v>0.51987305425419372</v>
      </c>
      <c r="F42" s="48" t="str">
        <f t="shared" si="15"/>
        <v/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30" t="str">
        <f t="shared" si="15"/>
        <v/>
      </c>
      <c r="N42" s="6"/>
    </row>
    <row r="43" spans="1:14" ht="15.75" customHeight="1" x14ac:dyDescent="0.3">
      <c r="A43" s="9"/>
      <c r="B43" s="44" t="s">
        <v>282</v>
      </c>
      <c r="C43" s="14">
        <f t="shared" ref="C43:M43" si="16">IF(C29="","",C27/C29)</f>
        <v>5.4536588970286719E-3</v>
      </c>
      <c r="D43" s="14">
        <f t="shared" si="16"/>
        <v>1.2390090479285856</v>
      </c>
      <c r="E43" s="14">
        <f t="shared" si="16"/>
        <v>0.76356354843584706</v>
      </c>
      <c r="F43" s="14" t="str">
        <f t="shared" si="16"/>
        <v/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1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4.8297001810986648</v>
      </c>
      <c r="D44" s="50">
        <f t="shared" si="17"/>
        <v>0.89843879835374851</v>
      </c>
      <c r="E44" s="50">
        <f t="shared" si="17"/>
        <v>22.167342899554676</v>
      </c>
      <c r="F44" s="50" t="str">
        <f t="shared" si="17"/>
        <v/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2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2.2400911035191512E-2</v>
      </c>
      <c r="D45" s="14">
        <f t="shared" si="18"/>
        <v>9.5933437790157849E-3</v>
      </c>
      <c r="E45" s="14">
        <f t="shared" si="18"/>
        <v>1.3348154695737966E-3</v>
      </c>
      <c r="F45" s="14" t="str">
        <f t="shared" si="18"/>
        <v/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1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4.5777102916081001</v>
      </c>
      <c r="D46" s="51">
        <f t="shared" si="19"/>
        <v>1.0336141100462377</v>
      </c>
      <c r="E46" s="51">
        <f t="shared" si="19"/>
        <v>0.85856731736300362</v>
      </c>
      <c r="F46" s="51" t="str">
        <f t="shared" si="19"/>
        <v/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3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54" t="s">
        <v>79</v>
      </c>
      <c r="E49" s="410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55">
        <v>5</v>
      </c>
      <c r="E51" s="456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57" t="s">
        <v>83</v>
      </c>
      <c r="E52" s="458"/>
      <c r="F52" s="59" t="s">
        <v>84</v>
      </c>
    </row>
    <row r="53" spans="1:6" ht="15.75" customHeight="1" x14ac:dyDescent="0.3">
      <c r="A53" s="9"/>
      <c r="B53" s="60">
        <f>C6</f>
        <v>44561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72006</v>
      </c>
      <c r="D68" s="72">
        <f>C68+C53-F65</f>
        <v>72006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4.0700740522180902E-2</v>
      </c>
      <c r="D69" s="73">
        <f t="shared" si="24"/>
        <v>4.0700740522180902E-2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30824.4568</v>
      </c>
      <c r="D70" s="72">
        <f>C70+E64-F65</f>
        <v>30824.4568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72006</v>
      </c>
      <c r="D71" s="72">
        <f>C71+C54</f>
        <v>72006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92093</v>
      </c>
      <c r="D72" s="72">
        <f>C72+C53-F65</f>
        <v>92093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F9" sqref="F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8" t="s">
        <v>107</v>
      </c>
      <c r="C2" s="288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288</v>
      </c>
      <c r="C3" s="6"/>
      <c r="D3" s="295">
        <v>2804928</v>
      </c>
      <c r="E3" s="177" t="str">
        <f>IF((C46-I46)=D3,"", "Error!")</f>
        <v/>
      </c>
      <c r="F3" s="6"/>
      <c r="G3" s="6"/>
      <c r="H3" s="296" t="s">
        <v>289</v>
      </c>
      <c r="I3" s="297">
        <v>2803646</v>
      </c>
    </row>
    <row r="4" spans="1:10" ht="15" customHeight="1" x14ac:dyDescent="0.3">
      <c r="B4" s="5" t="s">
        <v>255</v>
      </c>
      <c r="C4" s="6"/>
      <c r="D4" s="298">
        <f>D3-I3</f>
        <v>1282</v>
      </c>
      <c r="E4" s="171"/>
      <c r="F4" s="6"/>
      <c r="G4" s="6"/>
      <c r="H4" s="81" t="s">
        <v>108</v>
      </c>
      <c r="I4" s="112">
        <f>(I3*Dashboard!I12*Data!C4)/Dashboard!I5</f>
        <v>2.3964195313511514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E46-I46-E50+MIN('FCFF Model'!D4,0)</f>
        <v>2153529.4500000002</v>
      </c>
      <c r="E6" s="14">
        <f>1-D6/D3</f>
        <v>0.23223360813539595</v>
      </c>
      <c r="F6" s="6"/>
      <c r="G6" s="6"/>
      <c r="H6" s="3" t="s">
        <v>351</v>
      </c>
      <c r="I6" s="90">
        <f>C26/I26</f>
        <v>6.7308456508234578</v>
      </c>
      <c r="J6" s="6"/>
    </row>
    <row r="7" spans="1:10" ht="15" customHeight="1" x14ac:dyDescent="0.3">
      <c r="B7" s="53" t="s">
        <v>111</v>
      </c>
      <c r="D7" s="82">
        <f>MAX((D6*Exchange_Rate*Data!C4)/Dashboard!I5, 0)</f>
        <v>1.840731688422826</v>
      </c>
      <c r="E7" s="49" t="str">
        <f>Dashboard!J4</f>
        <v>HKD</v>
      </c>
      <c r="H7" s="3" t="s">
        <v>352</v>
      </c>
      <c r="I7" s="90">
        <f>C25/I26</f>
        <v>6.3438867786740261</v>
      </c>
      <c r="J7" s="6"/>
    </row>
    <row r="8" spans="1:10" ht="15" customHeight="1" x14ac:dyDescent="0.3">
      <c r="D8" s="6"/>
      <c r="H8" s="3" t="s">
        <v>353</v>
      </c>
      <c r="I8" s="90">
        <f>C24/I26</f>
        <v>5.2125887357204839</v>
      </c>
    </row>
    <row r="9" spans="1:10" ht="15" customHeight="1" x14ac:dyDescent="0.3">
      <c r="A9" s="4"/>
      <c r="B9" s="289" t="s">
        <v>284</v>
      </c>
      <c r="C9" s="276"/>
      <c r="D9" s="293">
        <v>44742</v>
      </c>
      <c r="E9" s="290" t="str">
        <f>IF(D9=Data!C3,"FY","Quarter")</f>
        <v>Quarter</v>
      </c>
      <c r="F9" s="154"/>
      <c r="G9" s="154"/>
      <c r="H9" s="154"/>
      <c r="I9" s="154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271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2198451</v>
      </c>
      <c r="D11" s="86">
        <v>1</v>
      </c>
      <c r="E11" s="27">
        <f t="shared" ref="E11:E21" si="0">C11*D11</f>
        <v>2198451</v>
      </c>
      <c r="F11" s="6"/>
      <c r="G11" s="6"/>
      <c r="H11" s="5" t="s">
        <v>118</v>
      </c>
      <c r="I11" s="85">
        <v>0</v>
      </c>
      <c r="J11" s="6"/>
    </row>
    <row r="12" spans="1:10" ht="14" x14ac:dyDescent="0.3">
      <c r="B12" s="3" t="s">
        <v>119</v>
      </c>
      <c r="C12" s="85">
        <v>0</v>
      </c>
      <c r="D12" s="86">
        <v>0.98</v>
      </c>
      <c r="E12" s="27">
        <f t="shared" si="0"/>
        <v>0</v>
      </c>
      <c r="F12" s="6"/>
      <c r="G12" s="6"/>
      <c r="H12" s="5" t="s">
        <v>120</v>
      </c>
      <c r="I12" s="85">
        <v>6810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0</v>
      </c>
      <c r="J13" s="6"/>
    </row>
    <row r="14" spans="1:10" ht="14" x14ac:dyDescent="0.3">
      <c r="B14" s="5" t="s">
        <v>123</v>
      </c>
      <c r="C14" s="85">
        <v>0</v>
      </c>
      <c r="D14" s="86">
        <v>0.6</v>
      </c>
      <c r="E14" s="27">
        <f t="shared" si="0"/>
        <v>0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228592</v>
      </c>
      <c r="D15" s="86">
        <v>0.3</v>
      </c>
      <c r="E15" s="27">
        <f t="shared" si="0"/>
        <v>68577.599999999991</v>
      </c>
      <c r="G15" s="6"/>
      <c r="H15" s="5" t="s">
        <v>126</v>
      </c>
      <c r="I15" s="176">
        <f>I26-SUM(I11:I14)</f>
        <v>414948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5" t="s">
        <v>272</v>
      </c>
      <c r="G16" s="115">
        <f>IF(F16="Y",0,1)</f>
        <v>0</v>
      </c>
      <c r="H16" s="5"/>
      <c r="I16" s="175"/>
      <c r="J16" s="6"/>
    </row>
    <row r="17" spans="2:10" ht="14" x14ac:dyDescent="0.3">
      <c r="B17" s="5" t="s">
        <v>127</v>
      </c>
      <c r="C17" s="85">
        <v>248542</v>
      </c>
      <c r="D17" s="86">
        <v>0.5</v>
      </c>
      <c r="E17" s="27">
        <f t="shared" si="0"/>
        <v>124271</v>
      </c>
      <c r="F17" s="6"/>
      <c r="G17" s="6"/>
      <c r="H17" s="5"/>
      <c r="I17" s="175"/>
      <c r="J17" s="6"/>
    </row>
    <row r="18" spans="2:10" ht="14" x14ac:dyDescent="0.3">
      <c r="B18" s="5" t="s">
        <v>128</v>
      </c>
      <c r="C18" s="85">
        <v>162986</v>
      </c>
      <c r="D18" s="86">
        <v>0.2</v>
      </c>
      <c r="E18" s="27">
        <f t="shared" si="0"/>
        <v>32597.200000000001</v>
      </c>
      <c r="G18" s="6"/>
    </row>
    <row r="19" spans="2:10" ht="14" x14ac:dyDescent="0.3">
      <c r="B19" s="3" t="s">
        <v>129</v>
      </c>
      <c r="C19" s="85">
        <v>0</v>
      </c>
      <c r="D19" s="86">
        <v>0.75</v>
      </c>
      <c r="E19" s="27">
        <f t="shared" si="0"/>
        <v>0</v>
      </c>
      <c r="F19" s="225" t="s">
        <v>272</v>
      </c>
      <c r="G19" s="115">
        <f>IF(F19="Y",0,1)</f>
        <v>0</v>
      </c>
      <c r="H19" s="5"/>
      <c r="I19" s="175"/>
    </row>
    <row r="20" spans="2:10" ht="14" x14ac:dyDescent="0.3">
      <c r="B20" s="5" t="s">
        <v>130</v>
      </c>
      <c r="C20" s="85">
        <v>0</v>
      </c>
      <c r="D20" s="86">
        <v>0.6</v>
      </c>
      <c r="E20" s="27">
        <f t="shared" si="0"/>
        <v>0</v>
      </c>
      <c r="F20" s="225" t="s">
        <v>272</v>
      </c>
      <c r="G20" s="115">
        <f>IF(F20="Y",0,1)</f>
        <v>0</v>
      </c>
      <c r="H20" s="5"/>
      <c r="I20" s="175"/>
    </row>
    <row r="21" spans="2:10" ht="14" x14ac:dyDescent="0.3">
      <c r="B21" s="5" t="s">
        <v>131</v>
      </c>
      <c r="C21" s="85">
        <v>217</v>
      </c>
      <c r="D21" s="86">
        <v>0.95</v>
      </c>
      <c r="E21" s="27">
        <f t="shared" si="0"/>
        <v>206.14999999999998</v>
      </c>
      <c r="F21" s="6"/>
      <c r="G21" s="6"/>
      <c r="H21" s="5"/>
      <c r="I21" s="175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2198451</v>
      </c>
      <c r="D24" s="89">
        <f>IF(E24=0,0,E24/C24)</f>
        <v>1</v>
      </c>
      <c r="E24" s="27">
        <f>SUM(E11:E14)</f>
        <v>2198451</v>
      </c>
      <c r="F24" s="6"/>
      <c r="G24" s="6"/>
      <c r="H24" s="87" t="s">
        <v>134</v>
      </c>
      <c r="I24" s="90">
        <f>E24/($I$26-I15)</f>
        <v>322.82687224669604</v>
      </c>
      <c r="J24" s="13" t="str">
        <f>IF(I24&lt;1,"Liquidity Problem!","")</f>
        <v/>
      </c>
    </row>
    <row r="25" spans="2:10" ht="15" customHeight="1" x14ac:dyDescent="0.3">
      <c r="B25" s="87" t="s">
        <v>135</v>
      </c>
      <c r="C25" s="91">
        <f>C24+SUM(C15:C17)</f>
        <v>2675585</v>
      </c>
      <c r="D25" s="89">
        <f>IF(E25=0,0,E25/C25)</f>
        <v>0.89374832046075914</v>
      </c>
      <c r="E25" s="27">
        <f>E24+SUM(E15:E17)</f>
        <v>2391299.6</v>
      </c>
      <c r="F25" s="6"/>
      <c r="G25" s="6"/>
      <c r="H25" s="87" t="s">
        <v>136</v>
      </c>
      <c r="I25" s="90">
        <f>E25/$I$26</f>
        <v>5.6698381536331262</v>
      </c>
      <c r="J25" s="13" t="str">
        <f>IF(OR(I25&lt;0.6,C26&lt;I26),"Liquidity Problem!","")</f>
        <v/>
      </c>
    </row>
    <row r="26" spans="2:10" ht="15" customHeight="1" x14ac:dyDescent="0.3">
      <c r="B26" s="5" t="s">
        <v>137</v>
      </c>
      <c r="C26" s="91">
        <f>SUM(C11:C22)</f>
        <v>2838788</v>
      </c>
      <c r="D26" s="14">
        <f t="shared" ref="D26" si="2">E26/C26</f>
        <v>0.85392179690769443</v>
      </c>
      <c r="E26" s="27">
        <f>SUM(E11:E22)</f>
        <v>2424102.9500000002</v>
      </c>
      <c r="H26" s="5" t="s">
        <v>58</v>
      </c>
      <c r="I26" s="85">
        <v>421758</v>
      </c>
    </row>
    <row r="27" spans="2:10" ht="15" customHeight="1" x14ac:dyDescent="0.3">
      <c r="C27" s="6"/>
      <c r="D27" s="6"/>
      <c r="E27" s="6"/>
      <c r="F27" s="30" t="s">
        <v>271</v>
      </c>
      <c r="G27" s="6"/>
      <c r="I27" s="6"/>
      <c r="J27" s="6"/>
    </row>
    <row r="28" spans="2:10" ht="15" customHeight="1" x14ac:dyDescent="0.3">
      <c r="B28" s="5" t="s">
        <v>138</v>
      </c>
      <c r="C28" s="85">
        <v>0</v>
      </c>
      <c r="D28" s="86">
        <v>0.95</v>
      </c>
      <c r="E28" s="27">
        <v>0</v>
      </c>
      <c r="F28" s="6"/>
      <c r="G28" s="6"/>
      <c r="H28" s="5" t="s">
        <v>139</v>
      </c>
      <c r="I28" s="85">
        <v>0</v>
      </c>
      <c r="J28" s="6"/>
    </row>
    <row r="29" spans="2:10" ht="15" customHeight="1" x14ac:dyDescent="0.3">
      <c r="B29" s="5" t="s">
        <v>140</v>
      </c>
      <c r="C29" s="85">
        <v>0</v>
      </c>
      <c r="D29" s="86">
        <v>0.85</v>
      </c>
      <c r="E29" s="27">
        <f t="shared" ref="E29:E40" si="3">C29*D29</f>
        <v>0</v>
      </c>
      <c r="F29" s="6"/>
      <c r="G29" s="6"/>
      <c r="H29" s="5" t="s">
        <v>141</v>
      </c>
      <c r="I29" s="85">
        <v>12866</v>
      </c>
      <c r="J29" s="6"/>
    </row>
    <row r="30" spans="2:10" ht="15" customHeight="1" x14ac:dyDescent="0.3">
      <c r="B30" s="5" t="s">
        <v>142</v>
      </c>
      <c r="C30" s="85">
        <v>0</v>
      </c>
      <c r="D30" s="86">
        <v>0.2</v>
      </c>
      <c r="E30" s="27">
        <f t="shared" si="3"/>
        <v>0</v>
      </c>
      <c r="F30" s="6"/>
      <c r="G30" s="6"/>
      <c r="H30" s="5" t="s">
        <v>144</v>
      </c>
      <c r="I30" s="85">
        <v>0</v>
      </c>
      <c r="J30" s="6"/>
    </row>
    <row r="31" spans="2:10" ht="14" x14ac:dyDescent="0.3">
      <c r="B31" s="3" t="s">
        <v>143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143</v>
      </c>
      <c r="I31" s="85">
        <v>0</v>
      </c>
      <c r="J31" s="6"/>
    </row>
    <row r="32" spans="2:10" ht="14" x14ac:dyDescent="0.3">
      <c r="B32" s="5" t="s">
        <v>145</v>
      </c>
      <c r="C32" s="85">
        <v>0</v>
      </c>
      <c r="D32" s="86">
        <v>0.4</v>
      </c>
      <c r="E32" s="27">
        <f t="shared" si="3"/>
        <v>0</v>
      </c>
      <c r="G32" s="6"/>
      <c r="H32" s="5" t="s">
        <v>146</v>
      </c>
      <c r="I32" s="176">
        <f>I42-SUM(I28:I31)</f>
        <v>2656</v>
      </c>
      <c r="J32" s="6"/>
    </row>
    <row r="33" spans="2:10" ht="14" x14ac:dyDescent="0.3">
      <c r="B33" s="5" t="s">
        <v>147</v>
      </c>
      <c r="C33" s="85">
        <v>135224</v>
      </c>
      <c r="D33" s="86">
        <v>0.3</v>
      </c>
      <c r="E33" s="241">
        <f t="shared" si="3"/>
        <v>40567.199999999997</v>
      </c>
      <c r="F33" s="225" t="s">
        <v>273</v>
      </c>
      <c r="G33" s="115">
        <f>IF(F33="Y",0,1)</f>
        <v>1</v>
      </c>
      <c r="J33" s="6"/>
    </row>
    <row r="34" spans="2:10" ht="14" x14ac:dyDescent="0.3">
      <c r="B34" s="5" t="s">
        <v>148</v>
      </c>
      <c r="C34" s="85">
        <v>0</v>
      </c>
      <c r="D34" s="86">
        <v>0.7</v>
      </c>
      <c r="E34" s="241">
        <f t="shared" si="3"/>
        <v>0</v>
      </c>
      <c r="F34" s="225" t="s">
        <v>272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0.4</v>
      </c>
      <c r="E35" s="27">
        <f t="shared" si="3"/>
        <v>0</v>
      </c>
      <c r="F35" s="225" t="s">
        <v>272</v>
      </c>
      <c r="G35" s="115">
        <f>IF(F35="Y",0,1)</f>
        <v>0</v>
      </c>
    </row>
    <row r="36" spans="2:10" ht="15" customHeight="1" x14ac:dyDescent="0.3">
      <c r="B36" s="5" t="s">
        <v>149</v>
      </c>
      <c r="C36" s="85">
        <v>169038</v>
      </c>
      <c r="D36" s="86">
        <v>0.3</v>
      </c>
      <c r="E36" s="27">
        <f t="shared" si="3"/>
        <v>50711.4</v>
      </c>
      <c r="F36" s="6"/>
      <c r="G36" s="6"/>
    </row>
    <row r="37" spans="2:10" ht="14" x14ac:dyDescent="0.3">
      <c r="B37" s="5" t="s">
        <v>150</v>
      </c>
      <c r="C37" s="85">
        <v>26908</v>
      </c>
      <c r="D37" s="86">
        <v>0.3</v>
      </c>
      <c r="E37" s="27">
        <f t="shared" si="3"/>
        <v>8072.4</v>
      </c>
      <c r="F37" s="6"/>
      <c r="G37" s="6"/>
    </row>
    <row r="38" spans="2:10" ht="15" customHeight="1" x14ac:dyDescent="0.3">
      <c r="B38" s="5" t="s">
        <v>151</v>
      </c>
      <c r="C38" s="85">
        <v>0</v>
      </c>
      <c r="D38" s="86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152</v>
      </c>
      <c r="C39" s="85">
        <v>72250</v>
      </c>
      <c r="D39" s="86">
        <v>0.95</v>
      </c>
      <c r="E39" s="27">
        <f t="shared" si="3"/>
        <v>68637.5</v>
      </c>
      <c r="F39" s="6"/>
      <c r="G39" s="6"/>
    </row>
    <row r="40" spans="2:10" ht="15" customHeight="1" x14ac:dyDescent="0.3">
      <c r="B40" s="5" t="s">
        <v>153</v>
      </c>
      <c r="C40" s="85">
        <v>0</v>
      </c>
      <c r="D40" s="86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154</v>
      </c>
      <c r="C42" s="88">
        <f>SUM(C28:C40)</f>
        <v>403420</v>
      </c>
      <c r="D42" s="14">
        <f>E42/C42</f>
        <v>0.416410936492985</v>
      </c>
      <c r="E42" s="27">
        <f>SUM(E28:E40)</f>
        <v>167988.5</v>
      </c>
      <c r="F42" s="6"/>
      <c r="G42" s="6"/>
      <c r="H42" s="5" t="s">
        <v>155</v>
      </c>
      <c r="I42" s="85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156</v>
      </c>
      <c r="C44" s="91">
        <f>C24+SUM(C28:C29)</f>
        <v>2198451</v>
      </c>
      <c r="D44" s="89">
        <f>IF(E44=0,0,E44/C44)</f>
        <v>1</v>
      </c>
      <c r="E44" s="27">
        <f>E24+SUM(E28:E29)</f>
        <v>2198451</v>
      </c>
      <c r="F44" s="6"/>
      <c r="G44" s="6"/>
      <c r="H44" s="87" t="s">
        <v>157</v>
      </c>
      <c r="I44" s="90">
        <f>E44/(I46-I15-I32)</f>
        <v>111.73261841837773</v>
      </c>
      <c r="J44" s="13" t="str">
        <f>IF(I44&lt;1,"Liquidity Problem!","")</f>
        <v/>
      </c>
    </row>
    <row r="45" spans="2:10" ht="15" customHeight="1" x14ac:dyDescent="0.3">
      <c r="B45" s="87" t="s">
        <v>158</v>
      </c>
      <c r="C45" s="91">
        <f>C44+(C25-C24)+SUM(C30:C33)</f>
        <v>2810809</v>
      </c>
      <c r="D45" s="89">
        <f>IF(E45=0,0,E45/C45)</f>
        <v>0.86518393814734484</v>
      </c>
      <c r="E45" s="27">
        <f>E44+(E25-E24)+SUM(E30:E33)</f>
        <v>2431866.8000000003</v>
      </c>
      <c r="F45" s="6"/>
      <c r="G45" s="6"/>
      <c r="H45" s="87" t="s">
        <v>159</v>
      </c>
      <c r="I45" s="90">
        <f>E45/$I$46</f>
        <v>5.5613492499085257</v>
      </c>
      <c r="J45" s="13" t="str">
        <f>IF(OR(I45&lt;0.5,C46&lt;I46),"Liquidity Problem!","")</f>
        <v/>
      </c>
    </row>
    <row r="46" spans="2:10" ht="15" customHeight="1" x14ac:dyDescent="0.3">
      <c r="B46" s="5" t="s">
        <v>160</v>
      </c>
      <c r="C46" s="91">
        <f>C26+C42</f>
        <v>3242208</v>
      </c>
      <c r="D46" s="14">
        <f>E46/C46</f>
        <v>0.79948339218211795</v>
      </c>
      <c r="E46" s="27">
        <f>E26+E42</f>
        <v>2592091.4500000002</v>
      </c>
      <c r="F46" s="6"/>
      <c r="G46" s="6"/>
      <c r="H46" s="5" t="s">
        <v>161</v>
      </c>
      <c r="I46" s="176">
        <f>I26+I42</f>
        <v>437280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162</v>
      </c>
      <c r="C48" s="21"/>
      <c r="D48" s="52"/>
    </row>
    <row r="49" spans="2:9" ht="14" x14ac:dyDescent="0.3">
      <c r="B49" s="237" t="s">
        <v>239</v>
      </c>
      <c r="C49" s="6"/>
      <c r="D49" s="238" t="str">
        <f>IF(E50=D4,"BV of the MI","P/B Approach")</f>
        <v>BV of the MI</v>
      </c>
      <c r="E49" s="6"/>
    </row>
    <row r="50" spans="2:9" ht="14" x14ac:dyDescent="0.3">
      <c r="B50" s="5" t="s">
        <v>238</v>
      </c>
      <c r="C50" s="239">
        <f>D4</f>
        <v>1282</v>
      </c>
      <c r="D50" s="235">
        <f>IF(E50=0, 0,E50/C50)</f>
        <v>1</v>
      </c>
      <c r="E50" s="239">
        <f>MAX(C50,C50*Dashboard!I10)</f>
        <v>1282</v>
      </c>
      <c r="I50" s="178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295</v>
      </c>
      <c r="C52" s="5"/>
      <c r="D52" s="459">
        <f>D53+D54+D55</f>
        <v>19676</v>
      </c>
      <c r="E52" s="460"/>
      <c r="F52" s="53"/>
      <c r="G52" s="53"/>
    </row>
    <row r="53" spans="2:9" ht="14.5" thickTop="1" x14ac:dyDescent="0.3">
      <c r="B53" s="79" t="s">
        <v>265</v>
      </c>
      <c r="C53" s="6"/>
      <c r="D53" s="462">
        <f>SUM(I11:I13)+SUM(I28:I30)</f>
        <v>19676</v>
      </c>
      <c r="E53" s="379"/>
      <c r="F53" s="5"/>
      <c r="G53" s="5"/>
      <c r="H53" s="3" t="s">
        <v>301</v>
      </c>
      <c r="I53" s="14">
        <f>D53/I3</f>
        <v>7.0180044128252995E-3</v>
      </c>
    </row>
    <row r="54" spans="2:9" ht="14" x14ac:dyDescent="0.3">
      <c r="B54" s="79" t="s">
        <v>164</v>
      </c>
      <c r="C54" s="6"/>
      <c r="D54" s="467">
        <v>0</v>
      </c>
      <c r="E54" s="410"/>
      <c r="F54" s="6" t="s">
        <v>165</v>
      </c>
      <c r="G54" s="6"/>
    </row>
    <row r="55" spans="2:9" ht="12.75" customHeight="1" x14ac:dyDescent="0.3">
      <c r="B55" s="79" t="s">
        <v>163</v>
      </c>
      <c r="C55" s="6"/>
      <c r="D55" s="467">
        <v>0</v>
      </c>
      <c r="E55" s="410"/>
      <c r="F55" s="5" t="s">
        <v>166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167</v>
      </c>
      <c r="C57" s="5"/>
      <c r="D57" s="461"/>
      <c r="E57" s="461"/>
      <c r="F57" s="19"/>
      <c r="G57" s="19"/>
    </row>
    <row r="58" spans="2:9" ht="15" customHeight="1" x14ac:dyDescent="0.3">
      <c r="B58" s="53" t="s">
        <v>266</v>
      </c>
      <c r="C58" s="234">
        <f>C14+C15+(C19*G19)+(C20*G20)+C29+C30+(C33*G33)+(C34*G34)+(C35*G35)</f>
        <v>363816</v>
      </c>
      <c r="D58" s="150">
        <f>IF(E58=0,0,E58/C58)</f>
        <v>0.3</v>
      </c>
      <c r="E58" s="242">
        <f>E14+E15+(E19*G19)+(E20*G20)+E29+E30+(E33*G33)+(E34*G34)+(E35*G35)</f>
        <v>109144.79999999999</v>
      </c>
      <c r="H58" s="6"/>
    </row>
    <row r="59" spans="2:9" ht="14" x14ac:dyDescent="0.3">
      <c r="B59" s="53" t="s">
        <v>117</v>
      </c>
      <c r="C59" s="234">
        <f>C11+C12+C28</f>
        <v>2198451</v>
      </c>
      <c r="D59" s="235">
        <f>IF(E59=0,0,E59/C59)</f>
        <v>1</v>
      </c>
      <c r="E59" s="236">
        <f>E11+E12+E28</f>
        <v>2198451</v>
      </c>
      <c r="F59" s="6"/>
      <c r="G59" s="6"/>
    </row>
    <row r="60" spans="2:9" ht="14" x14ac:dyDescent="0.3">
      <c r="B60" s="53" t="s">
        <v>168</v>
      </c>
      <c r="C60" s="6"/>
      <c r="D60" s="465">
        <f>((Dashboard!I6*Data!C4)+D52+E50-C58-C59)</f>
        <v>-114642.0299999998</v>
      </c>
      <c r="E60" s="46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3" t="s">
        <v>294</v>
      </c>
    </row>
    <row r="63" spans="2:9" ht="15" customHeight="1" x14ac:dyDescent="0.3">
      <c r="B63" s="3" t="s">
        <v>297</v>
      </c>
      <c r="D63" s="440">
        <f>((C26-C11-C12-C14-C15-C16*G16-C19*G19-C20*G20)-I26)/Data!C7</f>
        <v>-5.6597577264199846E-3</v>
      </c>
      <c r="E63" s="441"/>
    </row>
    <row r="64" spans="2:9" ht="15" customHeight="1" x14ac:dyDescent="0.3">
      <c r="B64" s="3" t="s">
        <v>296</v>
      </c>
      <c r="D64" s="463">
        <v>8.5599999999999996E-2</v>
      </c>
      <c r="E64" s="464"/>
      <c r="F64" s="287" t="s">
        <v>281</v>
      </c>
    </row>
    <row r="65" spans="2:5" ht="15" customHeight="1" x14ac:dyDescent="0.3">
      <c r="B65" s="313" t="s">
        <v>298</v>
      </c>
      <c r="D65" s="463">
        <v>8.5599999999999996E-2</v>
      </c>
      <c r="E65" s="46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0" sqref="E1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278</v>
      </c>
      <c r="C2" s="307" t="s">
        <v>292</v>
      </c>
      <c r="D2" s="307"/>
      <c r="E2" s="307">
        <v>1</v>
      </c>
      <c r="F2" s="307"/>
      <c r="G2" s="307">
        <v>2</v>
      </c>
      <c r="H2" s="12"/>
      <c r="I2" s="307">
        <v>3</v>
      </c>
      <c r="J2" s="307"/>
      <c r="K2" s="12"/>
      <c r="L2" s="12"/>
    </row>
    <row r="3" spans="1:13" ht="15.75" customHeight="1" x14ac:dyDescent="0.3">
      <c r="B3" s="29" t="str">
        <f>'FCFF Model'!B3</f>
        <v>(Numbers in 1000CNY)</v>
      </c>
      <c r="C3" s="299">
        <f>Data!C3</f>
        <v>44561</v>
      </c>
      <c r="D3" s="28" t="s">
        <v>280</v>
      </c>
      <c r="E3" s="299">
        <f>EOMONTH(EDATE(C3,12),0)</f>
        <v>44926</v>
      </c>
      <c r="F3" s="28" t="s">
        <v>280</v>
      </c>
      <c r="G3" s="299">
        <f>IF(G9="","",EOMONTH(EDATE(E3,12),0))</f>
        <v>45291</v>
      </c>
      <c r="H3" s="28"/>
      <c r="I3" s="299" t="str">
        <f>IF(I16="","",EOMONTH(EDATE(G3,12),0))</f>
        <v/>
      </c>
      <c r="J3" s="318"/>
      <c r="L3" s="93" t="s">
        <v>169</v>
      </c>
    </row>
    <row r="4" spans="1:13" ht="15.75" customHeight="1" x14ac:dyDescent="0.3">
      <c r="B4" s="314" t="s">
        <v>313</v>
      </c>
      <c r="C4" s="315">
        <v>1608309</v>
      </c>
      <c r="D4" s="281">
        <f>C4/C8</f>
        <v>0.90908212216326756</v>
      </c>
      <c r="E4" s="315">
        <f>C4*0.8</f>
        <v>1286647.2000000002</v>
      </c>
      <c r="F4" s="281">
        <f>E4/E8</f>
        <v>0.90654881466502901</v>
      </c>
      <c r="G4" s="243">
        <f>E4*0.95</f>
        <v>1222314.8400000001</v>
      </c>
      <c r="H4" s="281"/>
      <c r="I4" s="243"/>
      <c r="J4" s="308"/>
      <c r="K4" s="6"/>
      <c r="L4" s="95" t="s">
        <v>317</v>
      </c>
      <c r="M4" s="78"/>
    </row>
    <row r="5" spans="1:13" ht="15.75" customHeight="1" x14ac:dyDescent="0.3">
      <c r="B5" s="314" t="s">
        <v>314</v>
      </c>
      <c r="C5" s="315">
        <v>100817</v>
      </c>
      <c r="D5" s="281">
        <f>C5/C8</f>
        <v>5.6985897803304063E-2</v>
      </c>
      <c r="E5" s="315">
        <f>C5*0.6</f>
        <v>60490.2</v>
      </c>
      <c r="F5" s="281">
        <f>E5/E8</f>
        <v>4.2620322889484023E-2</v>
      </c>
      <c r="G5" s="243">
        <f>E5*0.8</f>
        <v>48392.160000000003</v>
      </c>
      <c r="H5" s="281"/>
      <c r="I5" s="243"/>
      <c r="J5" s="308"/>
      <c r="K5" s="6"/>
      <c r="L5" s="95"/>
      <c r="M5" s="78"/>
    </row>
    <row r="6" spans="1:13" ht="15.75" customHeight="1" x14ac:dyDescent="0.3">
      <c r="B6" s="314" t="s">
        <v>315</v>
      </c>
      <c r="C6" s="315">
        <v>52662</v>
      </c>
      <c r="D6" s="281">
        <f>C6/C8</f>
        <v>2.9766719403648178E-2</v>
      </c>
      <c r="E6" s="315">
        <f>C6*1.23</f>
        <v>64774.26</v>
      </c>
      <c r="F6" s="281">
        <f>E6/E8</f>
        <v>4.563879564173022E-2</v>
      </c>
      <c r="G6" s="243">
        <f>E6*1.15</f>
        <v>74490.39899999999</v>
      </c>
      <c r="H6" s="281"/>
      <c r="I6" s="243"/>
      <c r="J6" s="308"/>
      <c r="K6" s="6"/>
      <c r="L6" s="95" t="s">
        <v>319</v>
      </c>
      <c r="M6" s="78"/>
    </row>
    <row r="7" spans="1:13" ht="15.75" customHeight="1" x14ac:dyDescent="0.3">
      <c r="B7" s="314" t="s">
        <v>316</v>
      </c>
      <c r="C7" s="315">
        <v>7369</v>
      </c>
      <c r="D7" s="281">
        <f>C7/C8</f>
        <v>4.1652606297801721E-3</v>
      </c>
      <c r="E7" s="315">
        <f>C7</f>
        <v>7369</v>
      </c>
      <c r="F7" s="281">
        <f>E7/E8</f>
        <v>5.1920668037567699E-3</v>
      </c>
      <c r="G7" s="243">
        <f>E7</f>
        <v>7369</v>
      </c>
      <c r="H7" s="281"/>
      <c r="I7" s="243"/>
      <c r="J7" s="308"/>
      <c r="K7" s="6"/>
      <c r="L7" s="95" t="s">
        <v>318</v>
      </c>
      <c r="M7" s="78"/>
    </row>
    <row r="8" spans="1:13" ht="15.75" customHeight="1" x14ac:dyDescent="0.3">
      <c r="B8" s="5" t="s">
        <v>171</v>
      </c>
      <c r="C8" s="201">
        <f>SUM(C4:C7)</f>
        <v>1769157</v>
      </c>
      <c r="D8" s="280"/>
      <c r="E8" s="359">
        <f>SUM(E4:E7)</f>
        <v>1419280.6600000001</v>
      </c>
      <c r="F8" s="280"/>
      <c r="G8" s="359">
        <f>SUM(G4:G7)</f>
        <v>1352566.399</v>
      </c>
      <c r="H8" s="280"/>
      <c r="I8" s="249"/>
      <c r="J8" s="309"/>
      <c r="K8" s="6"/>
      <c r="L8" s="95"/>
      <c r="M8" s="78"/>
    </row>
    <row r="9" spans="1:13" ht="15.75" customHeight="1" x14ac:dyDescent="0.3">
      <c r="B9" s="17" t="s">
        <v>170</v>
      </c>
      <c r="C9" s="208"/>
      <c r="D9" s="282"/>
      <c r="E9" s="18">
        <f>E8/C8-1</f>
        <v>-0.19776443809113597</v>
      </c>
      <c r="F9" s="282"/>
      <c r="G9" s="18">
        <f>G8/E8-1</f>
        <v>-4.7005685964888855E-2</v>
      </c>
      <c r="H9" s="282"/>
      <c r="I9" s="94"/>
      <c r="J9" s="349"/>
      <c r="K9" s="6"/>
      <c r="L9" s="95"/>
      <c r="M9" s="78"/>
    </row>
    <row r="10" spans="1:13" ht="15.75" customHeight="1" x14ac:dyDescent="0.3">
      <c r="B10" s="8" t="s">
        <v>172</v>
      </c>
      <c r="C10" s="202">
        <f>Data!C9</f>
        <v>981731</v>
      </c>
      <c r="D10" s="283"/>
      <c r="E10" s="248">
        <f>E8*(1-E11)</f>
        <v>797209.94672200002</v>
      </c>
      <c r="F10" s="283"/>
      <c r="G10" s="303">
        <f>IF(G8="","",G8*(1-G11))</f>
        <v>759736.54631829995</v>
      </c>
      <c r="H10" s="283"/>
      <c r="I10" s="303" t="str">
        <f>IF(I8="","",I8*(1-I11))</f>
        <v/>
      </c>
      <c r="J10" s="350"/>
      <c r="K10" s="6"/>
      <c r="L10" s="137"/>
      <c r="M10" s="1"/>
    </row>
    <row r="11" spans="1:13" ht="15.75" customHeight="1" x14ac:dyDescent="0.3">
      <c r="B11" s="17" t="s">
        <v>48</v>
      </c>
      <c r="C11" s="207">
        <f>(C8-C10)/C8</f>
        <v>0.44508542769239812</v>
      </c>
      <c r="D11" s="207"/>
      <c r="E11" s="94">
        <v>0.43830000000000002</v>
      </c>
      <c r="F11" s="207"/>
      <c r="G11" s="94">
        <f>E11</f>
        <v>0.43830000000000002</v>
      </c>
      <c r="H11" s="207"/>
      <c r="I11" s="94"/>
      <c r="J11" s="351"/>
      <c r="K11" s="6"/>
      <c r="L11" s="95"/>
    </row>
    <row r="12" spans="1:13" ht="15.75" customHeight="1" x14ac:dyDescent="0.3">
      <c r="B12" s="5" t="s">
        <v>173</v>
      </c>
      <c r="C12" s="27">
        <f>C8-C10</f>
        <v>787426</v>
      </c>
      <c r="D12" s="27"/>
      <c r="E12" s="27">
        <f>E8-E10</f>
        <v>622070.71327800013</v>
      </c>
      <c r="F12" s="27"/>
      <c r="G12" s="27">
        <f>IF(G9="","",G8-G10)</f>
        <v>592829.85268170002</v>
      </c>
      <c r="H12" s="27"/>
      <c r="I12" s="27" t="str">
        <f>IF(I9="","",I8-I10)</f>
        <v/>
      </c>
      <c r="J12" s="263"/>
      <c r="K12" s="6"/>
      <c r="L12" s="95"/>
    </row>
    <row r="13" spans="1:13" ht="15.75" customHeight="1" x14ac:dyDescent="0.3">
      <c r="B13" s="17" t="s">
        <v>50</v>
      </c>
      <c r="C13" s="210">
        <f>C14/C8</f>
        <v>0.39871532034748752</v>
      </c>
      <c r="D13" s="210"/>
      <c r="E13" s="247">
        <v>0.4</v>
      </c>
      <c r="F13" s="210"/>
      <c r="G13" s="86">
        <f>E13</f>
        <v>0.4</v>
      </c>
      <c r="H13" s="210"/>
      <c r="I13" s="86"/>
      <c r="J13" s="352"/>
      <c r="K13" s="6"/>
      <c r="L13" s="95"/>
    </row>
    <row r="14" spans="1:13" ht="15.75" customHeight="1" x14ac:dyDescent="0.3">
      <c r="B14" s="8" t="s">
        <v>174</v>
      </c>
      <c r="C14" s="204">
        <f>526389+179001</f>
        <v>705390</v>
      </c>
      <c r="D14" s="284"/>
      <c r="E14" s="97">
        <f>E8*E13</f>
        <v>567712.26400000008</v>
      </c>
      <c r="F14" s="284"/>
      <c r="G14" s="97">
        <f>G8*G13</f>
        <v>541026.55960000004</v>
      </c>
      <c r="H14" s="284"/>
      <c r="I14" s="97"/>
      <c r="J14" s="353"/>
      <c r="K14" s="6"/>
      <c r="L14" s="95"/>
    </row>
    <row r="15" spans="1:13" ht="15.75" customHeight="1" x14ac:dyDescent="0.3">
      <c r="B15" s="17" t="s">
        <v>51</v>
      </c>
      <c r="C15" s="18">
        <f>C17/C8</f>
        <v>4.6370107344910601E-2</v>
      </c>
      <c r="D15" s="18"/>
      <c r="E15" s="18">
        <f>E17/E8</f>
        <v>3.8300000000000028E-2</v>
      </c>
      <c r="F15" s="18"/>
      <c r="G15" s="18">
        <f>IF(G9="","",G17/G8)</f>
        <v>3.8299999999999994E-2</v>
      </c>
      <c r="H15" s="18"/>
      <c r="I15" s="18" t="str">
        <f>IF(I9="","",I17/I8)</f>
        <v/>
      </c>
      <c r="J15" s="252"/>
      <c r="K15" s="6"/>
      <c r="L15" s="95"/>
      <c r="M15" s="78"/>
    </row>
    <row r="16" spans="1:13" ht="15.75" customHeight="1" x14ac:dyDescent="0.3">
      <c r="B16" s="17" t="s">
        <v>175</v>
      </c>
      <c r="C16" s="209"/>
      <c r="D16" s="285"/>
      <c r="E16" s="14">
        <f>IF(ABS(C17+E17)=ABS(C17)+ABS(E17),IF(E17&lt;0,-1,1)*(E17-C17)/C17,"Turn")</f>
        <v>-0.33738298700570429</v>
      </c>
      <c r="F16" s="285"/>
      <c r="G16" s="14">
        <f>IF(G9="","",IF(ABS(E17+G17)=ABS(E17)+ABS(G17),IF(G17&lt;0,-1,1)*(G17-E17)/E17,"Turn"))</f>
        <v>-4.7005685964889729E-2</v>
      </c>
      <c r="H16" s="285"/>
      <c r="I16" s="14" t="str">
        <f>IF(I9="","",IF(ABS(G17+I17)=ABS(G17)+ABS(I17),IF(I17&lt;0,-1,1)*(I17-G17)/G17,"Turn"))</f>
        <v/>
      </c>
      <c r="J16" s="354"/>
      <c r="K16" s="6"/>
      <c r="L16" s="98"/>
      <c r="M16" s="99"/>
    </row>
    <row r="17" spans="2:13" ht="15.75" customHeight="1" x14ac:dyDescent="0.3">
      <c r="B17" s="155" t="s">
        <v>276</v>
      </c>
      <c r="C17" s="341">
        <f>C12-C14</f>
        <v>82036</v>
      </c>
      <c r="D17" s="342"/>
      <c r="E17" s="341">
        <f>E12-E14</f>
        <v>54358.449278000044</v>
      </c>
      <c r="F17" s="342"/>
      <c r="G17" s="341">
        <f>IF(G9="","",G12-G14)</f>
        <v>51803.293081699987</v>
      </c>
      <c r="H17" s="342"/>
      <c r="I17" s="341" t="str">
        <f>IF(I9="","",I12-I14)</f>
        <v/>
      </c>
      <c r="J17" s="355"/>
      <c r="K17" s="6"/>
      <c r="L17" s="100"/>
      <c r="M17" s="77"/>
    </row>
    <row r="18" spans="2:13" ht="15.75" customHeight="1" x14ac:dyDescent="0.3">
      <c r="B18" s="337" t="s">
        <v>176</v>
      </c>
      <c r="C18" s="338">
        <v>0.25</v>
      </c>
      <c r="D18" s="339"/>
      <c r="E18" s="340">
        <f>IF(E17="","",C18)</f>
        <v>0.25</v>
      </c>
      <c r="F18" s="340"/>
      <c r="G18" s="340">
        <f>IF(G17="","",E18)</f>
        <v>0.25</v>
      </c>
      <c r="H18" s="340"/>
      <c r="I18" s="340" t="str">
        <f>IF(I17="","",G18)</f>
        <v/>
      </c>
      <c r="J18" s="356"/>
    </row>
    <row r="19" spans="2:13" ht="15.75" customHeight="1" x14ac:dyDescent="0.3">
      <c r="B19" s="346" t="s">
        <v>307</v>
      </c>
      <c r="C19" s="209"/>
      <c r="D19" s="348"/>
      <c r="E19" s="347">
        <f>E20/C20-1</f>
        <v>-0.33738298700570424</v>
      </c>
      <c r="F19" s="347"/>
      <c r="G19" s="347">
        <f>IF(G20="","",G20/E20-1)</f>
        <v>-4.7005685964889743E-2</v>
      </c>
      <c r="H19" s="347"/>
      <c r="I19" s="347" t="str">
        <f>IF(I20="","",I20/G20-1)</f>
        <v/>
      </c>
      <c r="J19" s="357"/>
    </row>
    <row r="20" spans="2:13" ht="15.75" customHeight="1" x14ac:dyDescent="0.3">
      <c r="B20" s="343" t="s">
        <v>100</v>
      </c>
      <c r="C20" s="344">
        <f>IF(C17&lt;=0,C17,C17*(1-C18))</f>
        <v>61527</v>
      </c>
      <c r="D20" s="344"/>
      <c r="E20" s="345">
        <f>IF(E17="","",IF(E17&lt;=0,E17,E17*(1-E18)))</f>
        <v>40768.836958500033</v>
      </c>
      <c r="F20" s="344"/>
      <c r="G20" s="345">
        <f>IF(G17="","",IF(G17&lt;=0,G17,G17*(1-G18)))</f>
        <v>38852.46981127499</v>
      </c>
      <c r="H20" s="344"/>
      <c r="I20" s="345" t="str">
        <f>IF(I17="","",IF(I17&lt;=0,I17,I17*(1-I18)))</f>
        <v/>
      </c>
      <c r="J20" s="358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 G20 I20">
    <cfRule type="containsBlanks" dxfId="5" priority="2">
      <formula>LEN(TRIM(E18))=0</formula>
    </cfRule>
  </conditionalFormatting>
  <conditionalFormatting sqref="G10:H13 G15:H17 H9 H14">
    <cfRule type="containsBlanks" priority="9">
      <formula>LEN(TRIM(G9))=0</formula>
    </cfRule>
  </conditionalFormatting>
  <conditionalFormatting sqref="G15:H17">
    <cfRule type="containsBlanks" dxfId="4" priority="8">
      <formula>LEN(TRIM(G15))=0</formula>
    </cfRule>
  </conditionalFormatting>
  <conditionalFormatting sqref="G10:J13 G15:J20 H9:J9 H14:J14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254</v>
      </c>
      <c r="C2" s="307" t="s">
        <v>292</v>
      </c>
      <c r="D2" s="307">
        <v>1</v>
      </c>
      <c r="E2" s="307">
        <v>2</v>
      </c>
      <c r="F2" s="307">
        <v>3</v>
      </c>
      <c r="G2" s="307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99">
        <f>Operation!C3</f>
        <v>44561</v>
      </c>
      <c r="D3" s="299">
        <f>Operation!E3</f>
        <v>44926</v>
      </c>
      <c r="E3" s="299">
        <f>Operation!G3</f>
        <v>45291</v>
      </c>
      <c r="F3" s="299" t="str">
        <f>Operation!I3</f>
        <v/>
      </c>
      <c r="G3" s="28" t="s">
        <v>290</v>
      </c>
      <c r="I3" s="93" t="s">
        <v>169</v>
      </c>
    </row>
    <row r="4" spans="1:10" ht="15.75" customHeight="1" x14ac:dyDescent="0.3">
      <c r="B4" s="5" t="s">
        <v>100</v>
      </c>
      <c r="C4" s="203">
        <f>Operation!C20</f>
        <v>61527</v>
      </c>
      <c r="D4" s="45">
        <f>Operation!E20</f>
        <v>40768.836958500033</v>
      </c>
      <c r="E4" s="45">
        <f>Operation!G20</f>
        <v>38852.46981127499</v>
      </c>
      <c r="F4" s="222" t="str">
        <f>Operation!I20</f>
        <v/>
      </c>
      <c r="G4" s="325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305</v>
      </c>
      <c r="C5" s="278"/>
      <c r="D5" s="279">
        <f>D4/C4-1</f>
        <v>-0.33738298700570424</v>
      </c>
      <c r="E5" s="279">
        <f>IF(E4="","",E4/D4-1)</f>
        <v>-4.7005685964889743E-2</v>
      </c>
      <c r="F5" s="279" t="str">
        <f>IF(F4="","",F4/E4-1)</f>
        <v/>
      </c>
      <c r="G5" s="219"/>
      <c r="H5" s="6"/>
      <c r="I5" s="100"/>
      <c r="J5" s="77"/>
    </row>
    <row r="6" spans="1:10" ht="15.75" customHeight="1" x14ac:dyDescent="0.3">
      <c r="B6" s="17" t="s">
        <v>69</v>
      </c>
      <c r="C6" s="86">
        <v>0.3</v>
      </c>
      <c r="D6" s="247">
        <v>0.3</v>
      </c>
      <c r="E6" s="86">
        <v>0.3</v>
      </c>
      <c r="F6" s="330"/>
      <c r="G6" s="220"/>
      <c r="H6" s="6"/>
      <c r="I6" s="98"/>
    </row>
    <row r="7" spans="1:10" ht="15" customHeight="1" thickBot="1" x14ac:dyDescent="0.35">
      <c r="B7" s="102" t="s">
        <v>299</v>
      </c>
      <c r="C7" s="331">
        <f>C4*C6</f>
        <v>18458.099999999999</v>
      </c>
      <c r="D7" s="331">
        <f>D4*D6</f>
        <v>12230.65108755001</v>
      </c>
      <c r="E7" s="331">
        <f>E4*E6</f>
        <v>11655.740943382496</v>
      </c>
      <c r="F7" s="332"/>
      <c r="G7" s="221"/>
      <c r="H7" s="103"/>
      <c r="I7" s="77"/>
      <c r="J7" s="77"/>
    </row>
    <row r="8" spans="1:10" ht="15.75" customHeight="1" thickTop="1" x14ac:dyDescent="0.3">
      <c r="B8" s="17" t="s">
        <v>177</v>
      </c>
      <c r="C8" s="213">
        <f>IF(C4="","",C4-C7)</f>
        <v>43068.9</v>
      </c>
      <c r="D8" s="212">
        <f>D4-D7</f>
        <v>28538.185870950023</v>
      </c>
      <c r="E8" s="212">
        <f>IF(E4="","",E4-E7)</f>
        <v>27196.728867892496</v>
      </c>
      <c r="F8" s="212" t="str">
        <f>IF(F4="","",F4-F7)</f>
        <v/>
      </c>
      <c r="G8" s="250">
        <f>IF(F4="",IF(E4="",D8,E8),F8)</f>
        <v>27196.728867892496</v>
      </c>
      <c r="H8" s="103"/>
      <c r="I8" s="77"/>
      <c r="J8" s="77"/>
    </row>
    <row r="9" spans="1:10" ht="15.75" customHeight="1" x14ac:dyDescent="0.3">
      <c r="B9" s="224" t="s">
        <v>247</v>
      </c>
      <c r="C9" s="214">
        <f>C8/(Common_Shares/Data!$C$4)</f>
        <v>3.2301670962291133E-2</v>
      </c>
      <c r="D9" s="327">
        <f>D8/(Common_Shares/Data!$C$4)</f>
        <v>2.1403636727757927E-2</v>
      </c>
      <c r="E9" s="327">
        <f>IF(E8="","",E8/(Common_Shares/Data!$C$4))</f>
        <v>2.0397544101226361E-2</v>
      </c>
      <c r="F9" s="327" t="str">
        <f>IF(F8="","",F8/(Common_Shares/Data!$C$4))</f>
        <v/>
      </c>
      <c r="G9" s="328">
        <f>G8*Data!C$4/Dashboard!I5</f>
        <v>2.0397544101226361E-2</v>
      </c>
      <c r="H9" s="103"/>
      <c r="I9" s="77"/>
      <c r="J9" s="77"/>
    </row>
    <row r="10" spans="1:10" ht="15.75" customHeight="1" x14ac:dyDescent="0.3">
      <c r="B10" s="255" t="s">
        <v>277</v>
      </c>
      <c r="C10" s="333">
        <f>C11/C9</f>
        <v>0.52009693305378113</v>
      </c>
      <c r="D10" s="333">
        <f>D11/D9</f>
        <v>0.78491334036764093</v>
      </c>
      <c r="E10" s="360"/>
      <c r="F10" s="360"/>
      <c r="G10" s="256"/>
      <c r="H10" s="103"/>
      <c r="I10" s="77"/>
      <c r="J10" s="77"/>
    </row>
    <row r="11" spans="1:10" ht="15.75" customHeight="1" x14ac:dyDescent="0.3">
      <c r="B11" s="255" t="s">
        <v>291</v>
      </c>
      <c r="C11" s="305">
        <f>0.0168</f>
        <v>1.6799999999999999E-2</v>
      </c>
      <c r="D11" s="306">
        <v>1.6799999999999999E-2</v>
      </c>
      <c r="E11" s="361"/>
      <c r="F11" s="361"/>
      <c r="G11" s="304"/>
      <c r="H11" s="103"/>
      <c r="I11" s="77"/>
      <c r="J11" s="77"/>
    </row>
    <row r="12" spans="1:10" ht="15.75" customHeight="1" x14ac:dyDescent="0.3">
      <c r="B12" s="19" t="s">
        <v>306</v>
      </c>
      <c r="C12" s="257">
        <v>0</v>
      </c>
      <c r="D12" s="257">
        <f>D11</f>
        <v>1.6799999999999999E-2</v>
      </c>
      <c r="E12" s="362"/>
      <c r="F12" s="362"/>
      <c r="G12" s="251">
        <f>G9*D26</f>
        <v>0.28556561741716907</v>
      </c>
      <c r="H12" s="103"/>
      <c r="I12" s="77"/>
      <c r="J12" s="77"/>
    </row>
    <row r="13" spans="1:10" ht="15.75" customHeight="1" x14ac:dyDescent="0.3">
      <c r="B13" s="17" t="s">
        <v>178</v>
      </c>
      <c r="C13" s="211"/>
      <c r="D13" s="244">
        <f ca="1">Dashboard!C12</f>
        <v>0.08</v>
      </c>
      <c r="E13" s="18">
        <f ca="1">IF(E4="","",D13)</f>
        <v>0.08</v>
      </c>
      <c r="F13" s="18" t="str">
        <f>IF(F4="","",D13)</f>
        <v/>
      </c>
      <c r="G13" s="252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179</v>
      </c>
      <c r="C14" s="135"/>
      <c r="D14" s="245">
        <f ca="1">IF(D4="","",1+D13)</f>
        <v>1.08</v>
      </c>
      <c r="E14" s="246">
        <f ca="1">IF(E4="","",(1+D13)*(1+E13))</f>
        <v>1.1664000000000001</v>
      </c>
      <c r="F14" s="246" t="str">
        <f>IF(F4="","",(1+D13)*(1+E13)*(1+F13))</f>
        <v/>
      </c>
      <c r="G14" s="253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345</v>
      </c>
      <c r="C15" s="258">
        <f>C12</f>
        <v>0</v>
      </c>
      <c r="D15" s="216">
        <f ca="1">IF(D12="","",MAX(D9-D11,D12)/D14)</f>
        <v>1.5555555555555553E-2</v>
      </c>
      <c r="E15" s="217">
        <f ca="1">IF(E9="","",E9/E14)</f>
        <v>1.7487606396799006E-2</v>
      </c>
      <c r="F15" s="217" t="str">
        <f>IF(F9="","",F9/F14)</f>
        <v/>
      </c>
      <c r="G15" s="254">
        <f ca="1">IF(G12=0,0,G12/G14)</f>
        <v>0.2266911940325797</v>
      </c>
      <c r="H15" s="101"/>
      <c r="I15" s="77"/>
      <c r="J15" s="77"/>
    </row>
    <row r="16" spans="1:10" ht="15.75" customHeight="1" x14ac:dyDescent="0.3">
      <c r="F16" s="6"/>
      <c r="G16" s="136"/>
    </row>
    <row r="17" spans="1:9" ht="15.75" customHeight="1" x14ac:dyDescent="0.3">
      <c r="B17" s="26" t="s">
        <v>250</v>
      </c>
      <c r="C17" s="215" t="str">
        <f>B3</f>
        <v>(Numbers in 1000CNY)</v>
      </c>
      <c r="E17" s="93" t="s">
        <v>251</v>
      </c>
    </row>
    <row r="18" spans="1:9" ht="15.75" customHeight="1" x14ac:dyDescent="0.3">
      <c r="B18" s="79" t="s">
        <v>270</v>
      </c>
      <c r="C18" s="105">
        <f>Asset_Model!E59</f>
        <v>2198451</v>
      </c>
      <c r="D18" s="240">
        <f>C18/(Dashboard!I5/Data!C4)</f>
        <v>1.6488380438952446</v>
      </c>
      <c r="E18" s="106" t="s">
        <v>267</v>
      </c>
      <c r="G18" s="158">
        <f>C18+C19+C20+C21</f>
        <v>2286637.7999999998</v>
      </c>
    </row>
    <row r="19" spans="1:9" ht="15.75" customHeight="1" x14ac:dyDescent="0.3">
      <c r="B19" s="79" t="s">
        <v>274</v>
      </c>
      <c r="C19" s="105">
        <f>Asset_Model!E58</f>
        <v>109144.79999999999</v>
      </c>
      <c r="D19" s="240">
        <f>C19/(Dashboard!I5/Data!C4)</f>
        <v>8.1858589767676265E-2</v>
      </c>
      <c r="E19" s="106" t="s">
        <v>268</v>
      </c>
      <c r="G19" s="218">
        <f>(G18+MIN(D4,0))*Data!C$4/Dashboard!I5</f>
        <v>1.7149781356277329</v>
      </c>
    </row>
    <row r="20" spans="1:9" ht="15.75" customHeight="1" x14ac:dyDescent="0.3">
      <c r="B20" s="79" t="s">
        <v>252</v>
      </c>
      <c r="C20" s="105">
        <f>-Asset_Model!D52</f>
        <v>-19676</v>
      </c>
      <c r="D20" s="240">
        <f>C20/(Dashboard!I5/Data!C4)</f>
        <v>-1.475699815537523E-2</v>
      </c>
      <c r="E20" s="470" t="str">
        <f>IF(F21+G21=G19,"⇒","Error!")</f>
        <v>⇒</v>
      </c>
      <c r="F20" s="167" t="s">
        <v>275</v>
      </c>
      <c r="G20" s="108" t="s">
        <v>23</v>
      </c>
    </row>
    <row r="21" spans="1:9" ht="15.75" customHeight="1" x14ac:dyDescent="0.3">
      <c r="B21" s="106" t="s">
        <v>269</v>
      </c>
      <c r="C21" s="105">
        <f>-Asset_Model!E50</f>
        <v>-1282</v>
      </c>
      <c r="D21" s="240">
        <f>C21/(Dashboard!I5/Data!C4)</f>
        <v>-9.6149987981251504E-4</v>
      </c>
      <c r="E21" s="470"/>
      <c r="F21" s="169">
        <f>D18</f>
        <v>1.6488380438952446</v>
      </c>
      <c r="G21" s="168">
        <f>SUM(D19:D21)</f>
        <v>6.6140091732488512E-2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253</v>
      </c>
      <c r="C23" s="215" t="str">
        <f>B3</f>
        <v>(Numbers in 1000CNY)</v>
      </c>
      <c r="E23" s="473" t="s">
        <v>260</v>
      </c>
      <c r="F23" s="473"/>
      <c r="G23" s="473"/>
    </row>
    <row r="24" spans="1:9" ht="15.75" customHeight="1" x14ac:dyDescent="0.3">
      <c r="B24" s="148" t="str">
        <f>"Exit after Year "&amp;G4</f>
        <v>Exit after Year 2</v>
      </c>
      <c r="C24" s="148" t="s">
        <v>256</v>
      </c>
      <c r="D24" s="223" t="s">
        <v>249</v>
      </c>
      <c r="E24" s="326" t="s">
        <v>257</v>
      </c>
      <c r="F24" s="286" t="s">
        <v>259</v>
      </c>
      <c r="G24" s="286" t="s">
        <v>258</v>
      </c>
      <c r="I24" s="107" t="s">
        <v>169</v>
      </c>
    </row>
    <row r="25" spans="1:9" ht="15.75" customHeight="1" x14ac:dyDescent="0.3">
      <c r="B25" s="30" t="s">
        <v>343</v>
      </c>
      <c r="C25" s="14">
        <f>1/D25</f>
        <v>0.16666666666666666</v>
      </c>
      <c r="D25" s="319">
        <v>6</v>
      </c>
      <c r="E25" s="227">
        <f ca="1">G9*D25/G14</f>
        <v>9.7153368871105567E-2</v>
      </c>
      <c r="F25" s="471">
        <f ca="1">SUM(C15:F15)</f>
        <v>3.3043161952354558E-2</v>
      </c>
      <c r="G25" s="227">
        <f ca="1">$F$25+E25+$G$19</f>
        <v>1.845174666451193</v>
      </c>
      <c r="I25" s="95"/>
    </row>
    <row r="26" spans="1:9" ht="15.75" customHeight="1" x14ac:dyDescent="0.3">
      <c r="B26" s="323" t="s">
        <v>344</v>
      </c>
      <c r="C26" s="324">
        <f t="shared" ref="C26" si="0">1/D26</f>
        <v>7.1428571428571425E-2</v>
      </c>
      <c r="D26" s="336">
        <v>14</v>
      </c>
      <c r="E26" s="228">
        <f ca="1">G9*D26/G14</f>
        <v>0.2266911940325797</v>
      </c>
      <c r="F26" s="472"/>
      <c r="G26" s="228">
        <f ca="1">$F$25+E26+$G$19</f>
        <v>1.9747124916126673</v>
      </c>
      <c r="I26" s="95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1" t="str">
        <f>"(Numbers in "&amp;Dashboard!J4&amp;" per share)"</f>
        <v>(Numbers in HKD per share)</v>
      </c>
      <c r="D28" s="148"/>
      <c r="E28" s="154"/>
      <c r="F28" s="148"/>
      <c r="G28" s="148"/>
      <c r="H28" s="12"/>
      <c r="I28" s="111"/>
    </row>
    <row r="29" spans="1:9" ht="15.75" customHeight="1" x14ac:dyDescent="0.3">
      <c r="A29" s="6"/>
      <c r="B29" s="92" t="s">
        <v>180</v>
      </c>
      <c r="C29" s="273">
        <f ca="1">MIN(Asset_Model!D7,G25*Exchange_Rate)+(ABS(Asset_Model!D7-G25*Exchange_Rate)*'Qualitative Analysis'!E8)</f>
        <v>1.9665662648393085</v>
      </c>
      <c r="D29" s="23" t="str">
        <f ca="1">IF(C29&lt;E29,"&lt;",IF(C29=E29,"=","&gt;"))</f>
        <v>&lt;</v>
      </c>
      <c r="E29" s="272">
        <f ca="1">G26*Exchange_Rate</f>
        <v>2.2505172075854749</v>
      </c>
      <c r="F29" s="30"/>
      <c r="H29" s="6"/>
      <c r="I29" s="6"/>
    </row>
    <row r="30" spans="1:9" ht="15.75" customHeight="1" x14ac:dyDescent="0.3">
      <c r="B30" s="6"/>
      <c r="C30" s="144"/>
      <c r="D30" s="144"/>
      <c r="E30" s="144"/>
      <c r="F30" s="144"/>
      <c r="G30" s="145"/>
      <c r="H30" s="6"/>
      <c r="I30" s="109"/>
    </row>
    <row r="31" spans="1:9" ht="15.75" customHeight="1" x14ac:dyDescent="0.3">
      <c r="C31" s="468" t="s">
        <v>181</v>
      </c>
      <c r="D31" s="469"/>
      <c r="E31" s="30" t="s">
        <v>248</v>
      </c>
      <c r="F31" s="30" t="s">
        <v>18</v>
      </c>
      <c r="G31" s="30"/>
      <c r="H31" s="6"/>
    </row>
    <row r="32" spans="1:9" ht="15.75" customHeight="1" x14ac:dyDescent="0.3">
      <c r="B32" s="277" t="s">
        <v>262</v>
      </c>
      <c r="C32" s="274">
        <f ca="1">MIN(C29,E29)+ABS(C29-E29)*'Qualitative Analysis'!$E$64</f>
        <v>2.0969615600099205</v>
      </c>
      <c r="D32" s="140" t="str">
        <f>Dashboard!J4</f>
        <v>HKD</v>
      </c>
      <c r="E32" s="141">
        <f ca="1">(C32-G19)/C9</f>
        <v>11.825500446342661</v>
      </c>
      <c r="F32" s="179">
        <f ca="1">C32/(Data!C28*Exchange_Rate*Data!C4/Common_Shares)</f>
        <v>0.8969171743853841</v>
      </c>
      <c r="G32" s="108"/>
      <c r="H32" s="6"/>
      <c r="I32" s="95"/>
    </row>
    <row r="33" spans="2:7" ht="15.75" customHeight="1" x14ac:dyDescent="0.3">
      <c r="B33" s="276" t="s">
        <v>261</v>
      </c>
      <c r="C33" s="275">
        <f ca="1">MAX(Asset_Model!D7,(G12/(1+G33)^G4+F25+G19)*Exchange_Rate)</f>
        <v>2.2743116899844793</v>
      </c>
      <c r="D33" s="229" t="str">
        <f>D32</f>
        <v>HKD</v>
      </c>
      <c r="E33" s="141">
        <f ca="1">(C33-G19)/C9</f>
        <v>17.315932510417511</v>
      </c>
      <c r="F33" s="179">
        <f ca="1">C33/(Data!C28*Exchange_Rate*Data!C4/Common_Shares)</f>
        <v>0.97277377590215652</v>
      </c>
      <c r="G33" s="302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6 E8:F9 E13:F15 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5" zoomScaleNormal="100" workbookViewId="0">
      <selection activeCell="E18" sqref="E1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182</v>
      </c>
      <c r="C2" s="116"/>
      <c r="D2" s="12"/>
      <c r="E2" s="12"/>
      <c r="G2" s="93" t="s">
        <v>169</v>
      </c>
    </row>
    <row r="3" spans="1:7" ht="14" x14ac:dyDescent="0.3">
      <c r="B3" s="6" t="s">
        <v>324</v>
      </c>
      <c r="C3" s="117"/>
      <c r="D3" s="115">
        <f>IF(E3="Strongly disagree",0,IF(E3="disagree",1,IF(E3="unclear",2,IF(E3="agree",3,4))))</f>
        <v>0</v>
      </c>
      <c r="E3" s="31" t="s">
        <v>207</v>
      </c>
      <c r="G3" s="100"/>
    </row>
    <row r="4" spans="1:7" ht="14" x14ac:dyDescent="0.3">
      <c r="B4" s="6" t="s">
        <v>325</v>
      </c>
      <c r="C4" s="117"/>
      <c r="D4" s="115">
        <f t="shared" ref="D4" si="0">IF(E4="Strongly disagree",0,IF(E4="disagree",1,IF(E4="unclear",2,IF(E4="agree",3,4))))</f>
        <v>4</v>
      </c>
      <c r="E4" s="31" t="s">
        <v>193</v>
      </c>
      <c r="G4" s="98"/>
    </row>
    <row r="5" spans="1:7" ht="14" x14ac:dyDescent="0.3">
      <c r="B5" s="6" t="s">
        <v>326</v>
      </c>
      <c r="C5" s="117"/>
      <c r="D5" s="115">
        <f>AVERAGE(D12:D16)</f>
        <v>1.4</v>
      </c>
      <c r="E5" s="123" t="str">
        <f>IF(D5&gt;=3.5,"Strongly agree",IF(D5&gt;=2.5,"agree",IF(D5&gt;=1.5,"unclear",IF(D5&gt;=0.5,"disagree","Strongly disagree"))))</f>
        <v>disagree</v>
      </c>
      <c r="G5" s="98"/>
    </row>
    <row r="6" spans="1:7" ht="14" x14ac:dyDescent="0.3">
      <c r="B6" s="6" t="s">
        <v>327</v>
      </c>
      <c r="C6" s="117"/>
      <c r="D6" s="115">
        <f>AVERAGE(D24:D28)</f>
        <v>2.2000000000000002</v>
      </c>
      <c r="E6" s="123" t="str">
        <f>IF(D6&gt;=3.5,"Strongly agree",IF(D6&gt;=2.5,"agree",IF(D6&gt;=1.5,"unclear",IF(D6&gt;=0.5,"disagree","Strongly disagree"))))</f>
        <v>unclear</v>
      </c>
      <c r="G6" s="98"/>
    </row>
    <row r="7" spans="1:7" ht="14" x14ac:dyDescent="0.3">
      <c r="B7" s="6" t="s">
        <v>328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185</v>
      </c>
      <c r="C8" s="117"/>
      <c r="D8" s="115">
        <f>AVERAGE(D3:D7)</f>
        <v>1.9200000000000004</v>
      </c>
      <c r="E8" s="119">
        <f>D8/4</f>
        <v>0.48000000000000009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186</v>
      </c>
      <c r="C10" s="20"/>
      <c r="D10" s="20"/>
      <c r="E10" s="12"/>
      <c r="G10" s="316"/>
    </row>
    <row r="11" spans="1:7" ht="15" customHeight="1" x14ac:dyDescent="0.3">
      <c r="B11" s="120" t="s">
        <v>187</v>
      </c>
      <c r="C11" s="114"/>
      <c r="E11" s="6"/>
      <c r="G11" s="316"/>
    </row>
    <row r="12" spans="1:7" ht="15" customHeight="1" x14ac:dyDescent="0.3">
      <c r="B12" s="53" t="s">
        <v>329</v>
      </c>
      <c r="D12" s="121">
        <f>IF(E12="Strongly disagree",0,IF(E12="disagree",1,IF(E12="unclear",2,IF(E12="agree",3,4))))</f>
        <v>0</v>
      </c>
      <c r="E12" s="31" t="s">
        <v>207</v>
      </c>
      <c r="F12" s="6"/>
      <c r="G12" s="316"/>
    </row>
    <row r="13" spans="1:7" ht="15" customHeight="1" x14ac:dyDescent="0.3">
      <c r="B13" s="53" t="s">
        <v>188</v>
      </c>
      <c r="D13" s="121">
        <f>IF(E13="Strongly disagree",0,IF(E13="disagree",1,IF(E13="unclear",2,IF(E13="agree",3,4))))</f>
        <v>1</v>
      </c>
      <c r="E13" s="31" t="s">
        <v>191</v>
      </c>
      <c r="F13" s="6"/>
      <c r="G13" s="316"/>
    </row>
    <row r="14" spans="1:7" ht="15" customHeight="1" x14ac:dyDescent="0.3">
      <c r="B14" s="53" t="s">
        <v>189</v>
      </c>
      <c r="D14" s="121">
        <f>IF(E14="Strongly disagree",0,IF(E14="disagree",1,IF(E14="unclear",2,IF(E14="agree",3,4))))</f>
        <v>1</v>
      </c>
      <c r="E14" s="31" t="s">
        <v>191</v>
      </c>
      <c r="F14" s="6"/>
      <c r="G14" s="316"/>
    </row>
    <row r="15" spans="1:7" ht="15" customHeight="1" x14ac:dyDescent="0.3">
      <c r="B15" s="53" t="s">
        <v>190</v>
      </c>
      <c r="D15" s="121">
        <f>IF(E15="Strongly disagree",0,IF(E15="disagree",1,IF(E15="unclear",2,IF(E15="agree",3,4))))</f>
        <v>1</v>
      </c>
      <c r="E15" s="31" t="s">
        <v>191</v>
      </c>
      <c r="F15" s="6"/>
      <c r="G15" s="316"/>
    </row>
    <row r="16" spans="1:7" ht="15" customHeight="1" x14ac:dyDescent="0.3">
      <c r="B16" s="53" t="s">
        <v>192</v>
      </c>
      <c r="D16" s="121">
        <f>IF(E16="Strongly disagree",0,IF(E16="disagree",1,IF(E16="unclear",2,IF(E16="agree",3,4))))</f>
        <v>4</v>
      </c>
      <c r="E16" s="31" t="s">
        <v>193</v>
      </c>
      <c r="F16" s="6"/>
      <c r="G16" s="316"/>
    </row>
    <row r="17" spans="2:7" ht="15" customHeight="1" x14ac:dyDescent="0.3">
      <c r="B17" s="120" t="s">
        <v>194</v>
      </c>
      <c r="D17" s="38"/>
      <c r="E17" s="23"/>
      <c r="G17" s="316"/>
    </row>
    <row r="18" spans="2:7" ht="15" customHeight="1" x14ac:dyDescent="0.3">
      <c r="B18" s="53" t="s">
        <v>195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6"/>
    </row>
    <row r="19" spans="2:7" ht="15" customHeight="1" x14ac:dyDescent="0.3">
      <c r="B19" s="53" t="s">
        <v>196</v>
      </c>
      <c r="D19" s="121">
        <f t="shared" ref="D19:D22" si="1">IF(E19="Strongly disagree",0,IF(E19="disagree",1,IF(E19="unclear",2,IF(E19="agree",3,4))))</f>
        <v>2</v>
      </c>
      <c r="E19" s="31" t="s">
        <v>183</v>
      </c>
      <c r="F19" s="6"/>
      <c r="G19" s="316"/>
    </row>
    <row r="20" spans="2:7" ht="15" customHeight="1" x14ac:dyDescent="0.3">
      <c r="B20" s="53" t="s">
        <v>197</v>
      </c>
      <c r="D20" s="121">
        <f t="shared" si="1"/>
        <v>1</v>
      </c>
      <c r="E20" s="31" t="s">
        <v>191</v>
      </c>
      <c r="F20" s="6"/>
      <c r="G20" s="316"/>
    </row>
    <row r="21" spans="2:7" ht="15" customHeight="1" x14ac:dyDescent="0.3">
      <c r="B21" s="53" t="s">
        <v>198</v>
      </c>
      <c r="D21" s="121">
        <f t="shared" si="1"/>
        <v>2</v>
      </c>
      <c r="E21" s="31" t="s">
        <v>183</v>
      </c>
      <c r="F21" s="6"/>
      <c r="G21" s="316"/>
    </row>
    <row r="22" spans="2:7" ht="15" customHeight="1" x14ac:dyDescent="0.3">
      <c r="B22" s="53" t="s">
        <v>199</v>
      </c>
      <c r="D22" s="121">
        <f t="shared" si="1"/>
        <v>1</v>
      </c>
      <c r="E22" s="31" t="s">
        <v>191</v>
      </c>
      <c r="F22" s="6"/>
      <c r="G22" s="316"/>
    </row>
    <row r="23" spans="2:7" ht="15" customHeight="1" x14ac:dyDescent="0.3">
      <c r="B23" s="120" t="s">
        <v>200</v>
      </c>
      <c r="D23" s="38"/>
      <c r="E23" s="23"/>
      <c r="G23" s="316"/>
    </row>
    <row r="24" spans="2:7" ht="15" customHeight="1" x14ac:dyDescent="0.3">
      <c r="B24" s="53" t="s">
        <v>201</v>
      </c>
      <c r="D24" s="121">
        <f t="shared" ref="D24:D28" si="2">IF(E24="Strongly disagree",0,IF(E24="disagree",1,IF(E24="unclear",2,IF(E24="agree",3,4))))</f>
        <v>3</v>
      </c>
      <c r="E24" s="31" t="s">
        <v>184</v>
      </c>
      <c r="F24" s="6"/>
      <c r="G24" s="316"/>
    </row>
    <row r="25" spans="2:7" ht="15" customHeight="1" x14ac:dyDescent="0.3">
      <c r="B25" s="53" t="s">
        <v>202</v>
      </c>
      <c r="D25" s="121">
        <f t="shared" si="2"/>
        <v>2</v>
      </c>
      <c r="E25" s="31" t="s">
        <v>183</v>
      </c>
      <c r="F25" s="6"/>
      <c r="G25" s="316"/>
    </row>
    <row r="26" spans="2:7" ht="15" customHeight="1" x14ac:dyDescent="0.3">
      <c r="B26" s="53" t="s">
        <v>330</v>
      </c>
      <c r="D26" s="121">
        <f t="shared" si="2"/>
        <v>2</v>
      </c>
      <c r="E26" s="31" t="s">
        <v>183</v>
      </c>
      <c r="F26" s="6"/>
      <c r="G26" s="316"/>
    </row>
    <row r="27" spans="2:7" ht="15" customHeight="1" x14ac:dyDescent="0.3">
      <c r="B27" s="53" t="s">
        <v>331</v>
      </c>
      <c r="D27" s="121">
        <f t="shared" si="2"/>
        <v>2</v>
      </c>
      <c r="E27" s="31" t="s">
        <v>183</v>
      </c>
      <c r="F27" s="6"/>
      <c r="G27" s="316"/>
    </row>
    <row r="28" spans="2:7" ht="15" customHeight="1" x14ac:dyDescent="0.3">
      <c r="B28" s="53" t="s">
        <v>203</v>
      </c>
      <c r="D28" s="121">
        <f t="shared" si="2"/>
        <v>2</v>
      </c>
      <c r="E28" s="31" t="s">
        <v>183</v>
      </c>
      <c r="F28" s="6"/>
      <c r="G28" s="316"/>
    </row>
    <row r="29" spans="2:7" ht="15" customHeight="1" x14ac:dyDescent="0.3">
      <c r="B29" s="120" t="s">
        <v>204</v>
      </c>
      <c r="D29" s="38"/>
      <c r="E29" s="23"/>
      <c r="G29" s="316"/>
    </row>
    <row r="30" spans="2:7" ht="15" customHeight="1" x14ac:dyDescent="0.3">
      <c r="B30" s="1" t="s">
        <v>205</v>
      </c>
      <c r="D30" s="124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316"/>
    </row>
    <row r="31" spans="2:7" ht="15" customHeight="1" x14ac:dyDescent="0.3">
      <c r="B31" s="53" t="s">
        <v>206</v>
      </c>
      <c r="D31" s="121">
        <f t="shared" ref="D31:D35" si="3">IF(E31="Strongly disagree",0,IF(E31="disagree",1,IF(E31="unclear",2,IF(E31="agree",3,4))))</f>
        <v>1</v>
      </c>
      <c r="E31" s="31" t="s">
        <v>191</v>
      </c>
      <c r="F31" s="6"/>
      <c r="G31" s="316"/>
    </row>
    <row r="32" spans="2:7" ht="15" customHeight="1" x14ac:dyDescent="0.3">
      <c r="B32" s="53" t="s">
        <v>332</v>
      </c>
      <c r="D32" s="121">
        <f t="shared" si="3"/>
        <v>4</v>
      </c>
      <c r="E32" s="31" t="s">
        <v>193</v>
      </c>
      <c r="F32" s="6"/>
      <c r="G32" s="316"/>
    </row>
    <row r="33" spans="2:7" ht="15" customHeight="1" x14ac:dyDescent="0.3">
      <c r="B33" s="53" t="s">
        <v>333</v>
      </c>
      <c r="D33" s="121">
        <f t="shared" si="3"/>
        <v>1</v>
      </c>
      <c r="E33" s="31" t="s">
        <v>191</v>
      </c>
      <c r="F33" s="6"/>
      <c r="G33" s="316"/>
    </row>
    <row r="34" spans="2:7" ht="15" customHeight="1" x14ac:dyDescent="0.3">
      <c r="B34" s="53" t="s">
        <v>334</v>
      </c>
      <c r="D34" s="121">
        <f t="shared" si="3"/>
        <v>3</v>
      </c>
      <c r="E34" s="31" t="s">
        <v>184</v>
      </c>
      <c r="F34" s="6"/>
      <c r="G34" s="316"/>
    </row>
    <row r="35" spans="2:7" ht="15" customHeight="1" x14ac:dyDescent="0.3">
      <c r="B35" s="53" t="s">
        <v>335</v>
      </c>
      <c r="D35" s="121">
        <f t="shared" si="3"/>
        <v>4</v>
      </c>
      <c r="E35" s="31" t="s">
        <v>193</v>
      </c>
      <c r="G35" s="316"/>
    </row>
    <row r="36" spans="2:7" ht="15" customHeight="1" x14ac:dyDescent="0.3">
      <c r="B36" s="1" t="s">
        <v>208</v>
      </c>
      <c r="D36" s="124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316"/>
    </row>
    <row r="37" spans="2:7" ht="15" customHeight="1" x14ac:dyDescent="0.3">
      <c r="B37" s="53" t="s">
        <v>209</v>
      </c>
      <c r="D37" s="121">
        <f t="shared" ref="D37:D41" si="4">IF(E37="Strongly disagree",0,IF(E37="disagree",1,IF(E37="unclear",2,IF(E37="agree",3,4))))</f>
        <v>0</v>
      </c>
      <c r="E37" s="31" t="s">
        <v>207</v>
      </c>
      <c r="F37" s="6"/>
      <c r="G37" s="316"/>
    </row>
    <row r="38" spans="2:7" ht="15" customHeight="1" x14ac:dyDescent="0.3">
      <c r="B38" s="53" t="s">
        <v>336</v>
      </c>
      <c r="D38" s="121">
        <f t="shared" si="4"/>
        <v>0</v>
      </c>
      <c r="E38" s="31" t="s">
        <v>207</v>
      </c>
      <c r="F38" s="6"/>
      <c r="G38" s="316"/>
    </row>
    <row r="39" spans="2:7" ht="15" customHeight="1" x14ac:dyDescent="0.3">
      <c r="B39" s="53" t="s">
        <v>337</v>
      </c>
      <c r="D39" s="121">
        <f t="shared" si="4"/>
        <v>3</v>
      </c>
      <c r="E39" s="31" t="s">
        <v>184</v>
      </c>
      <c r="F39" s="6"/>
      <c r="G39" s="316"/>
    </row>
    <row r="40" spans="2:7" ht="15" customHeight="1" x14ac:dyDescent="0.3">
      <c r="B40" s="53" t="s">
        <v>338</v>
      </c>
      <c r="D40" s="121">
        <f t="shared" si="4"/>
        <v>3</v>
      </c>
      <c r="E40" s="31" t="s">
        <v>184</v>
      </c>
      <c r="F40" s="6"/>
      <c r="G40" s="316"/>
    </row>
    <row r="41" spans="2:7" ht="15" customHeight="1" x14ac:dyDescent="0.3">
      <c r="B41" s="53" t="s">
        <v>339</v>
      </c>
      <c r="D41" s="121">
        <f t="shared" si="4"/>
        <v>0</v>
      </c>
      <c r="E41" s="31" t="s">
        <v>207</v>
      </c>
      <c r="G41" s="316"/>
    </row>
    <row r="42" spans="2:7" ht="15" customHeight="1" x14ac:dyDescent="0.3">
      <c r="B42" s="1" t="s">
        <v>210</v>
      </c>
      <c r="D42" s="124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316"/>
    </row>
    <row r="43" spans="2:7" ht="15" customHeight="1" x14ac:dyDescent="0.3">
      <c r="B43" s="53" t="s">
        <v>211</v>
      </c>
      <c r="D43" s="121">
        <f t="shared" ref="D43:D48" si="5">IF(E43="Strongly disagree",0,IF(E43="disagree",1,IF(E43="unclear",2,IF(E43="agree",3,4))))</f>
        <v>0</v>
      </c>
      <c r="E43" s="31" t="s">
        <v>207</v>
      </c>
      <c r="F43" s="6"/>
      <c r="G43" s="316"/>
    </row>
    <row r="44" spans="2:7" ht="15" customHeight="1" x14ac:dyDescent="0.3">
      <c r="B44" s="53" t="s">
        <v>212</v>
      </c>
      <c r="D44" s="121">
        <f t="shared" si="5"/>
        <v>2</v>
      </c>
      <c r="E44" s="31" t="s">
        <v>183</v>
      </c>
      <c r="F44" s="6"/>
      <c r="G44" s="316"/>
    </row>
    <row r="45" spans="2:7" ht="15" customHeight="1" x14ac:dyDescent="0.3">
      <c r="B45" s="53" t="s">
        <v>213</v>
      </c>
      <c r="D45" s="121">
        <f t="shared" si="5"/>
        <v>4</v>
      </c>
      <c r="E45" s="31" t="s">
        <v>193</v>
      </c>
      <c r="F45" s="6"/>
      <c r="G45" s="316"/>
    </row>
    <row r="46" spans="2:7" ht="15" customHeight="1" x14ac:dyDescent="0.3">
      <c r="B46" s="53" t="s">
        <v>214</v>
      </c>
      <c r="D46" s="121">
        <f t="shared" si="5"/>
        <v>0</v>
      </c>
      <c r="E46" s="31" t="s">
        <v>207</v>
      </c>
      <c r="F46" s="6"/>
      <c r="G46" s="316"/>
    </row>
    <row r="47" spans="2:7" ht="15" customHeight="1" x14ac:dyDescent="0.3">
      <c r="B47" s="53" t="s">
        <v>215</v>
      </c>
      <c r="D47" s="121">
        <f t="shared" si="5"/>
        <v>0</v>
      </c>
      <c r="E47" s="31" t="s">
        <v>207</v>
      </c>
      <c r="F47" s="6"/>
      <c r="G47" s="316"/>
    </row>
    <row r="48" spans="2:7" ht="15" customHeight="1" x14ac:dyDescent="0.3">
      <c r="B48" s="53" t="s">
        <v>241</v>
      </c>
      <c r="D48" s="121">
        <f t="shared" si="5"/>
        <v>2</v>
      </c>
      <c r="E48" s="31" t="s">
        <v>183</v>
      </c>
      <c r="F48" s="6"/>
      <c r="G48" s="316"/>
    </row>
    <row r="49" spans="2:8" ht="15" customHeight="1" x14ac:dyDescent="0.3">
      <c r="B49" s="1" t="s">
        <v>216</v>
      </c>
      <c r="D49" s="124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316"/>
    </row>
    <row r="50" spans="2:8" ht="15" customHeight="1" x14ac:dyDescent="0.3">
      <c r="B50" s="53" t="s">
        <v>217</v>
      </c>
      <c r="D50" s="121">
        <f t="shared" ref="D50:D52" si="6">IF(E50="Strongly disagree",0,IF(E50="disagree",1,IF(E50="unclear",2,IF(E50="agree",3,4))))</f>
        <v>1</v>
      </c>
      <c r="E50" s="31" t="s">
        <v>191</v>
      </c>
      <c r="G50" s="316"/>
    </row>
    <row r="51" spans="2:8" ht="15" customHeight="1" x14ac:dyDescent="0.3">
      <c r="B51" s="53" t="s">
        <v>218</v>
      </c>
      <c r="D51" s="121">
        <f t="shared" si="6"/>
        <v>2</v>
      </c>
      <c r="E51" s="31" t="s">
        <v>183</v>
      </c>
      <c r="F51" s="6"/>
      <c r="G51" s="316"/>
    </row>
    <row r="52" spans="2:8" ht="15" customHeight="1" x14ac:dyDescent="0.3">
      <c r="B52" s="53" t="s">
        <v>340</v>
      </c>
      <c r="D52" s="121">
        <f t="shared" si="6"/>
        <v>3</v>
      </c>
      <c r="E52" s="31" t="s">
        <v>184</v>
      </c>
      <c r="G52" s="316"/>
    </row>
    <row r="53" spans="2:8" ht="15" customHeight="1" x14ac:dyDescent="0.3">
      <c r="B53" s="53" t="s">
        <v>341</v>
      </c>
      <c r="D53" s="121">
        <f>IF(E53="Strongly disagree",0,IF(E53="disagree",1,IF(E53="unclear",2,IF(E53="agree",3,4))))</f>
        <v>4</v>
      </c>
      <c r="E53" s="31" t="s">
        <v>193</v>
      </c>
      <c r="F53" s="53"/>
      <c r="G53" s="316"/>
      <c r="H53" s="53"/>
    </row>
    <row r="54" spans="2:8" ht="15" customHeight="1" x14ac:dyDescent="0.3">
      <c r="B54" s="53" t="s">
        <v>342</v>
      </c>
      <c r="D54" s="125">
        <f t="array" ref="D54">(1-INDEX(B68:E77,MATCH(E54,B68:B77,0),4))*4</f>
        <v>2.3129251700680271</v>
      </c>
      <c r="E54" s="31" t="s">
        <v>312</v>
      </c>
      <c r="F54" s="53"/>
      <c r="G54" s="316"/>
      <c r="H54" s="53"/>
    </row>
    <row r="55" spans="2:8" ht="15" customHeight="1" x14ac:dyDescent="0.3">
      <c r="B55" s="1" t="s">
        <v>219</v>
      </c>
      <c r="D55" s="126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316"/>
      <c r="H55" s="53"/>
    </row>
    <row r="56" spans="2:8" ht="15" customHeight="1" x14ac:dyDescent="0.3">
      <c r="B56" s="53" t="s">
        <v>220</v>
      </c>
      <c r="D56" s="121">
        <f t="shared" ref="D56:D60" si="7">IF(E56="Strongly disagree",0,IF(E56="disagree",1,IF(E56="unclear",2,IF(E56="agree",3,4))))</f>
        <v>4</v>
      </c>
      <c r="E56" s="31" t="s">
        <v>193</v>
      </c>
      <c r="F56" s="53"/>
      <c r="G56" s="316"/>
      <c r="H56" s="53"/>
    </row>
    <row r="57" spans="2:8" ht="15" customHeight="1" x14ac:dyDescent="0.3">
      <c r="B57" s="53" t="s">
        <v>221</v>
      </c>
      <c r="D57" s="121">
        <f t="shared" si="7"/>
        <v>4</v>
      </c>
      <c r="E57" s="31" t="s">
        <v>193</v>
      </c>
      <c r="F57" s="53"/>
      <c r="G57" s="316"/>
      <c r="H57" s="53"/>
    </row>
    <row r="58" spans="2:8" ht="15" customHeight="1" x14ac:dyDescent="0.3">
      <c r="B58" s="53" t="s">
        <v>242</v>
      </c>
      <c r="D58" s="121">
        <f t="shared" si="7"/>
        <v>3</v>
      </c>
      <c r="E58" s="31" t="s">
        <v>184</v>
      </c>
      <c r="F58" s="53"/>
      <c r="G58" s="316"/>
      <c r="H58" s="53"/>
    </row>
    <row r="59" spans="2:8" ht="15" customHeight="1" x14ac:dyDescent="0.3">
      <c r="B59" s="53" t="s">
        <v>243</v>
      </c>
      <c r="D59" s="121">
        <f t="shared" si="7"/>
        <v>4</v>
      </c>
      <c r="E59" s="31" t="s">
        <v>193</v>
      </c>
      <c r="F59" s="53"/>
      <c r="G59" s="316"/>
      <c r="H59" s="53"/>
    </row>
    <row r="60" spans="2:8" ht="15" customHeight="1" x14ac:dyDescent="0.3">
      <c r="B60" s="53" t="s">
        <v>244</v>
      </c>
      <c r="D60" s="121">
        <f t="shared" si="7"/>
        <v>4</v>
      </c>
      <c r="E60" s="31" t="s">
        <v>193</v>
      </c>
      <c r="F60" s="53"/>
      <c r="G60" s="316"/>
      <c r="H60" s="53"/>
    </row>
    <row r="61" spans="2:8" ht="15" customHeight="1" x14ac:dyDescent="0.3">
      <c r="B61" s="53" t="s">
        <v>245</v>
      </c>
      <c r="D61" s="121">
        <f>IF(E61="Strongly disagree",0,IF(E61="disagree",1,IF(E61="non-perishable",2,IF(E61="agree",3,4))))</f>
        <v>3</v>
      </c>
      <c r="E61" s="31" t="s">
        <v>184</v>
      </c>
      <c r="F61" s="53"/>
      <c r="G61" s="316"/>
      <c r="H61" s="53"/>
    </row>
    <row r="62" spans="2:8" ht="15" customHeight="1" x14ac:dyDescent="0.3">
      <c r="B62" s="167" t="s">
        <v>222</v>
      </c>
      <c r="D62" s="147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316"/>
      <c r="H62" s="53"/>
    </row>
    <row r="63" spans="2:8" ht="15" customHeight="1" x14ac:dyDescent="0.3">
      <c r="D63" s="6"/>
      <c r="G63" s="316"/>
    </row>
    <row r="64" spans="2:8" ht="15" customHeight="1" x14ac:dyDescent="0.3">
      <c r="B64" s="118" t="s">
        <v>223</v>
      </c>
      <c r="D64" s="115">
        <f>E64*4</f>
        <v>1.8368707482993196</v>
      </c>
      <c r="E64" s="146">
        <f>AVERAGE(AVERAGE(D12:D16)/4,AVERAGE(D18:D22)/4,AVERAGE(D24:D28)/4,D62)</f>
        <v>0.45921768707482991</v>
      </c>
      <c r="G64" s="316"/>
    </row>
    <row r="65" spans="2:7" ht="15" customHeight="1" x14ac:dyDescent="0.3">
      <c r="G65" s="317"/>
    </row>
    <row r="66" spans="2:7" ht="15" customHeight="1" x14ac:dyDescent="0.3">
      <c r="B66" s="54" t="s">
        <v>224</v>
      </c>
      <c r="C66" s="7"/>
      <c r="D66" s="7"/>
      <c r="E66" s="56"/>
    </row>
    <row r="67" spans="2:7" ht="15" customHeight="1" x14ac:dyDescent="0.3">
      <c r="B67" s="127" t="s">
        <v>225</v>
      </c>
      <c r="C67" s="128"/>
      <c r="D67" s="128"/>
      <c r="E67" s="129"/>
    </row>
    <row r="68" spans="2:7" ht="15" customHeight="1" x14ac:dyDescent="0.3">
      <c r="B68" s="130" t="s">
        <v>226</v>
      </c>
      <c r="C68" s="128"/>
      <c r="D68" s="128">
        <v>1</v>
      </c>
      <c r="E68" s="131">
        <f t="shared" ref="E68:E76" si="8">D68/MAX($D$68:$D$77)</f>
        <v>3.4013605442176874E-2</v>
      </c>
    </row>
    <row r="69" spans="2:7" ht="15" customHeight="1" x14ac:dyDescent="0.3">
      <c r="B69" s="130" t="str">
        <f t="shared" ref="B69:B77" si="9">C69&amp;", "&amp;D69&amp;"y"</f>
        <v>Information Technology Like, 6.6y</v>
      </c>
      <c r="C69" s="128" t="s">
        <v>227</v>
      </c>
      <c r="D69" s="128">
        <v>6.6</v>
      </c>
      <c r="E69" s="131">
        <f t="shared" si="8"/>
        <v>0.22448979591836735</v>
      </c>
    </row>
    <row r="70" spans="2:7" ht="15" customHeight="1" x14ac:dyDescent="0.3">
      <c r="B70" s="130" t="str">
        <f t="shared" si="9"/>
        <v>Healthcare, 11.4y</v>
      </c>
      <c r="C70" s="128" t="s">
        <v>228</v>
      </c>
      <c r="D70" s="128">
        <v>11.4</v>
      </c>
      <c r="E70" s="131">
        <f t="shared" si="8"/>
        <v>0.38775510204081637</v>
      </c>
    </row>
    <row r="71" spans="2:7" ht="15" customHeight="1" x14ac:dyDescent="0.3">
      <c r="B71" s="130" t="str">
        <f t="shared" si="9"/>
        <v>Consumer Discretionary, 12.4y</v>
      </c>
      <c r="C71" s="128" t="s">
        <v>229</v>
      </c>
      <c r="D71" s="128">
        <v>12.4</v>
      </c>
      <c r="E71" s="131">
        <f t="shared" si="8"/>
        <v>0.42176870748299322</v>
      </c>
    </row>
    <row r="72" spans="2:7" ht="15" customHeight="1" x14ac:dyDescent="0.3">
      <c r="B72" s="130" t="str">
        <f t="shared" si="9"/>
        <v>Consumer Staples, 15.1y</v>
      </c>
      <c r="C72" s="128" t="s">
        <v>230</v>
      </c>
      <c r="D72" s="128">
        <v>15.1</v>
      </c>
      <c r="E72" s="131">
        <f t="shared" si="8"/>
        <v>0.51360544217687076</v>
      </c>
    </row>
    <row r="73" spans="2:7" ht="15" customHeight="1" x14ac:dyDescent="0.3">
      <c r="B73" s="130" t="str">
        <f t="shared" si="9"/>
        <v>Industrials, 15.4y</v>
      </c>
      <c r="C73" s="128" t="s">
        <v>231</v>
      </c>
      <c r="D73" s="128">
        <v>15.4</v>
      </c>
      <c r="E73" s="131">
        <f t="shared" si="8"/>
        <v>0.52380952380952384</v>
      </c>
    </row>
    <row r="74" spans="2:7" ht="15" customHeight="1" x14ac:dyDescent="0.3">
      <c r="B74" s="130" t="str">
        <f t="shared" si="9"/>
        <v>Telecommunication Services, 16.1y</v>
      </c>
      <c r="C74" s="128" t="s">
        <v>232</v>
      </c>
      <c r="D74" s="128">
        <v>16.100000000000001</v>
      </c>
      <c r="E74" s="131">
        <f t="shared" si="8"/>
        <v>0.54761904761904767</v>
      </c>
    </row>
    <row r="75" spans="2:7" ht="15" customHeight="1" x14ac:dyDescent="0.3">
      <c r="B75" s="130" t="str">
        <f t="shared" si="9"/>
        <v>Energy, 17.6y</v>
      </c>
      <c r="C75" s="128" t="s">
        <v>233</v>
      </c>
      <c r="D75" s="128">
        <v>17.600000000000001</v>
      </c>
      <c r="E75" s="131">
        <f t="shared" si="8"/>
        <v>0.59863945578231303</v>
      </c>
    </row>
    <row r="76" spans="2:7" ht="15" customHeight="1" x14ac:dyDescent="0.3">
      <c r="B76" s="130" t="str">
        <f t="shared" si="9"/>
        <v>Materials, 18.6y</v>
      </c>
      <c r="C76" s="128" t="s">
        <v>234</v>
      </c>
      <c r="D76" s="128">
        <v>18.600000000000001</v>
      </c>
      <c r="E76" s="131">
        <f t="shared" si="8"/>
        <v>0.63265306122448983</v>
      </c>
    </row>
    <row r="77" spans="2:7" ht="15" customHeight="1" x14ac:dyDescent="0.3">
      <c r="B77" s="132" t="str">
        <f t="shared" si="9"/>
        <v>Utilities, 29.4y</v>
      </c>
      <c r="C77" s="133" t="s">
        <v>235</v>
      </c>
      <c r="D77" s="133">
        <v>29.4</v>
      </c>
      <c r="E77" s="13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50:E53 E31:E35 E37:E41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1A0C51B0-4E08-4338-8AC8-B112D8E3F9C9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2023-03-23T09:13:31Z</dcterms:modified>
  <cp:category/>
  <cp:contentStatus/>
</cp:coreProperties>
</file>