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10873df2abd437/Equity Research/京東方精電 0710.HK/"/>
    </mc:Choice>
  </mc:AlternateContent>
  <xr:revisionPtr revIDLastSave="62" documentId="13_ncr:1_{4AED0B43-8F8D-4597-9D42-477CB7F00989}" xr6:coauthVersionLast="47" xr6:coauthVersionMax="47" xr10:uidLastSave="{E742396E-2279-4DBD-B3F4-48F9477057CB}"/>
  <bookViews>
    <workbookView xWindow="-98" yWindow="-98" windowWidth="21795" windowHeight="12975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8" i="7" l="1"/>
  <c r="G7" i="7"/>
  <c r="G9" i="7" s="1"/>
  <c r="G6" i="7"/>
  <c r="G5" i="7"/>
  <c r="G4" i="7"/>
  <c r="D30" i="4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12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I120" i="8" l="1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D45" i="7"/>
  <c r="E45" i="7"/>
  <c r="F45" i="7"/>
  <c r="D46" i="7"/>
  <c r="E46" i="7"/>
  <c r="F46" i="7"/>
  <c r="D47" i="7"/>
  <c r="E47" i="7"/>
  <c r="F47" i="7"/>
  <c r="D44" i="7"/>
  <c r="E44" i="7"/>
  <c r="F44" i="7"/>
  <c r="C45" i="7"/>
  <c r="C46" i="7"/>
  <c r="C47" i="7"/>
  <c r="C44" i="7"/>
  <c r="B69" i="7"/>
  <c r="B65" i="7"/>
  <c r="B32" i="7"/>
  <c r="C66" i="7"/>
  <c r="D66" i="7"/>
  <c r="E66" i="7"/>
  <c r="F66" i="7"/>
  <c r="C11" i="7"/>
  <c r="C74" i="7" s="1"/>
  <c r="C76" i="7" s="1"/>
  <c r="D11" i="7"/>
  <c r="D74" i="7" s="1"/>
  <c r="D76" i="7" s="1"/>
  <c r="E11" i="7"/>
  <c r="E74" i="7" s="1"/>
  <c r="E76" i="7" s="1"/>
  <c r="F74" i="7"/>
  <c r="F76" i="7" s="1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F69" i="7" l="1"/>
  <c r="F70" i="7" s="1"/>
  <c r="E65" i="7"/>
  <c r="E69" i="7"/>
  <c r="E70" i="7" s="1"/>
  <c r="C69" i="7"/>
  <c r="C70" i="7" s="1"/>
  <c r="I117" i="8"/>
  <c r="O117" i="8" s="1"/>
  <c r="M37" i="2"/>
  <c r="L37" i="2"/>
  <c r="K37" i="2"/>
  <c r="J37" i="2"/>
  <c r="I37" i="2"/>
  <c r="D69" i="7"/>
  <c r="D70" i="7" s="1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E67" i="7"/>
  <c r="E32" i="7"/>
  <c r="C12" i="7"/>
  <c r="E14" i="7"/>
  <c r="C65" i="7"/>
  <c r="C67" i="7" s="1"/>
  <c r="D14" i="7"/>
  <c r="C14" i="7"/>
  <c r="E12" i="7"/>
  <c r="C13" i="7"/>
  <c r="C18" i="7" s="1"/>
  <c r="C16" i="7" s="1"/>
  <c r="D10" i="7"/>
  <c r="E13" i="7"/>
  <c r="E18" i="7" s="1"/>
  <c r="E16" i="7" s="1"/>
  <c r="C32" i="7"/>
  <c r="E10" i="7"/>
  <c r="D12" i="7"/>
  <c r="D32" i="7"/>
  <c r="D13" i="7"/>
  <c r="D18" i="7" s="1"/>
  <c r="F32" i="7"/>
  <c r="F65" i="7"/>
  <c r="F67" i="7" s="1"/>
  <c r="D65" i="7"/>
  <c r="D67" i="7" s="1"/>
  <c r="B6" i="4"/>
  <c r="B9" i="4"/>
  <c r="J27" i="1"/>
  <c r="C31" i="4"/>
  <c r="C35" i="4"/>
  <c r="G27" i="4"/>
  <c r="D16" i="7" l="1"/>
  <c r="D17" i="7"/>
  <c r="C36" i="7"/>
  <c r="C57" i="7" s="1"/>
  <c r="C33" i="7"/>
  <c r="C54" i="7" s="1"/>
  <c r="C34" i="7"/>
  <c r="C55" i="7" s="1"/>
  <c r="C35" i="7"/>
  <c r="C56" i="7" s="1"/>
  <c r="F34" i="7"/>
  <c r="F55" i="7" s="1"/>
  <c r="F35" i="7"/>
  <c r="F56" i="7" s="1"/>
  <c r="F36" i="7"/>
  <c r="F57" i="7" s="1"/>
  <c r="F33" i="7"/>
  <c r="F54" i="7" s="1"/>
  <c r="E33" i="7"/>
  <c r="E54" i="7" s="1"/>
  <c r="E34" i="7"/>
  <c r="E55" i="7" s="1"/>
  <c r="E35" i="7"/>
  <c r="E56" i="7" s="1"/>
  <c r="E36" i="7"/>
  <c r="E57" i="7" s="1"/>
  <c r="D36" i="7"/>
  <c r="D57" i="7" s="1"/>
  <c r="D35" i="7"/>
  <c r="D56" i="7" s="1"/>
  <c r="D33" i="7"/>
  <c r="D54" i="7" s="1"/>
  <c r="D34" i="7"/>
  <c r="D55" i="7" s="1"/>
  <c r="D53" i="7"/>
  <c r="C53" i="7"/>
  <c r="F53" i="7"/>
  <c r="E53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7" i="3" s="1"/>
  <c r="D47" i="3" s="1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C11" i="1" s="1"/>
  <c r="D35" i="2"/>
  <c r="D36" i="2" s="1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M35" i="2"/>
  <c r="L35" i="2"/>
  <c r="K35" i="2"/>
  <c r="J35" i="2"/>
  <c r="I35" i="2"/>
  <c r="H35" i="2"/>
  <c r="H36" i="2" s="1"/>
  <c r="G35" i="2"/>
  <c r="G36" i="2" s="1"/>
  <c r="F35" i="2"/>
  <c r="F36" i="2" s="1"/>
  <c r="C8" i="2"/>
  <c r="F10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5" i="2"/>
  <c r="E36" i="2" s="1"/>
  <c r="E37" i="2" s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C35" i="2"/>
  <c r="K17" i="2"/>
  <c r="J17" i="2"/>
  <c r="L17" i="2"/>
  <c r="G16" i="2" l="1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F28" i="7"/>
  <c r="H16" i="2"/>
  <c r="L15" i="2"/>
  <c r="M16" i="2"/>
  <c r="E13" i="2"/>
  <c r="E51" i="2" s="1"/>
  <c r="E54" i="2" s="1"/>
  <c r="E16" i="2"/>
  <c r="E38" i="2" s="1"/>
  <c r="C36" i="2"/>
  <c r="C37" i="2" s="1"/>
  <c r="F22" i="7"/>
  <c r="F24" i="7" s="1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F13" i="7"/>
  <c r="F18" i="7" s="1"/>
  <c r="D55" i="3"/>
  <c r="C30" i="4" s="1"/>
  <c r="G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G28" i="7" s="1"/>
  <c r="C3" i="4"/>
  <c r="C27" i="4" s="1"/>
  <c r="J16" i="1"/>
  <c r="C20" i="4"/>
  <c r="B3" i="7"/>
  <c r="D26" i="3" l="1"/>
  <c r="F26" i="3"/>
  <c r="D27" i="3"/>
  <c r="F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E28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C18" i="4"/>
  <c r="D18" i="4" s="1"/>
  <c r="D53" i="3"/>
  <c r="D24" i="3"/>
  <c r="D52" i="3"/>
  <c r="F17" i="2"/>
  <c r="E17" i="2"/>
  <c r="F24" i="3" l="1"/>
  <c r="F25" i="3"/>
  <c r="D28" i="3"/>
  <c r="E49" i="3"/>
  <c r="D49" i="3" s="1"/>
  <c r="M120" i="8"/>
  <c r="O120" i="8" s="1"/>
  <c r="D17" i="4"/>
  <c r="G18" i="4" s="1"/>
  <c r="C3" i="7"/>
  <c r="C28" i="7" s="1"/>
  <c r="D28" i="7"/>
  <c r="F25" i="7"/>
  <c r="I23" i="7"/>
  <c r="I24" i="7"/>
  <c r="C4" i="4"/>
  <c r="F26" i="7"/>
  <c r="C55" i="2"/>
  <c r="G18" i="7"/>
  <c r="D44" i="3"/>
  <c r="D45" i="3"/>
  <c r="G15" i="4"/>
  <c r="F20" i="7"/>
  <c r="J27" i="3"/>
  <c r="D25" i="3"/>
  <c r="C45" i="4" l="1"/>
  <c r="C6" i="4"/>
  <c r="D6" i="3"/>
  <c r="D7" i="3" s="1"/>
  <c r="G17" i="7"/>
  <c r="G16" i="7"/>
  <c r="C8" i="4"/>
  <c r="G19" i="7"/>
  <c r="J47" i="3"/>
  <c r="J28" i="3" s="1"/>
  <c r="G32" i="4" l="1"/>
  <c r="D31" i="4"/>
  <c r="D32" i="4" s="1"/>
  <c r="G21" i="7"/>
  <c r="C9" i="4"/>
  <c r="C28" i="4"/>
  <c r="C33" i="4" s="1"/>
  <c r="C34" i="4" s="1"/>
  <c r="D18" i="5"/>
  <c r="E64" i="5" s="1"/>
  <c r="C37" i="4" s="1"/>
  <c r="F44" i="1"/>
  <c r="D4" i="4" l="1"/>
  <c r="G24" i="7"/>
  <c r="D7" i="4" s="1"/>
  <c r="G20" i="7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6" i="7"/>
  <c r="F18" i="4"/>
  <c r="D11" i="4"/>
  <c r="D38" i="4" s="1"/>
  <c r="D8" i="4"/>
  <c r="D28" i="4" s="1"/>
  <c r="E6" i="3"/>
  <c r="E17" i="4" l="1"/>
  <c r="D33" i="4"/>
  <c r="D34" i="4" s="1"/>
  <c r="D37" i="4" s="1"/>
  <c r="D39" i="4" s="1"/>
  <c r="G28" i="4"/>
  <c r="D9" i="4"/>
  <c r="D12" i="4" s="1"/>
  <c r="H11" i="7"/>
  <c r="H3" i="7"/>
  <c r="E3" i="4" l="1"/>
  <c r="E27" i="4" s="1"/>
  <c r="H28" i="7"/>
  <c r="G45" i="4"/>
  <c r="F45" i="4"/>
  <c r="E45" i="4"/>
  <c r="H13" i="7"/>
  <c r="H18" i="7" s="1"/>
  <c r="I17" i="7" l="1"/>
  <c r="I3" i="7" s="1"/>
  <c r="H19" i="7"/>
  <c r="H17" i="7"/>
  <c r="H16" i="7"/>
  <c r="F3" i="4" l="1"/>
  <c r="G4" i="4" s="1"/>
  <c r="B21" i="4" s="1"/>
  <c r="G2" i="4" s="1"/>
  <c r="G26" i="4" s="1"/>
  <c r="I28" i="7"/>
  <c r="E31" i="4"/>
  <c r="I19" i="7"/>
  <c r="H21" i="7"/>
  <c r="F27" i="4" l="1"/>
  <c r="E4" i="4"/>
  <c r="H24" i="7"/>
  <c r="E7" i="4" s="1"/>
  <c r="F31" i="4"/>
  <c r="I21" i="7"/>
  <c r="I26" i="7" s="1"/>
  <c r="H20" i="7"/>
  <c r="E5" i="4" l="1"/>
  <c r="H26" i="7"/>
  <c r="E8" i="4"/>
  <c r="E28" i="4" s="1"/>
  <c r="E32" i="4" s="1"/>
  <c r="F10" i="4"/>
  <c r="F35" i="4" s="1"/>
  <c r="F36" i="4" s="1"/>
  <c r="G31" i="4"/>
  <c r="F8" i="4"/>
  <c r="F28" i="4" s="1"/>
  <c r="F32" i="4" s="1"/>
  <c r="F33" i="4" s="1"/>
  <c r="F34" i="4" s="1"/>
  <c r="I20" i="7"/>
  <c r="G33" i="4"/>
  <c r="G34" i="4" s="1"/>
  <c r="G37" i="4" s="1"/>
  <c r="E10" i="4"/>
  <c r="E33" i="4" l="1"/>
  <c r="E34" i="4" s="1"/>
  <c r="F37" i="4"/>
  <c r="F9" i="4"/>
  <c r="G9" i="4"/>
  <c r="E35" i="4"/>
  <c r="F11" i="4"/>
  <c r="E11" i="4"/>
  <c r="E38" i="4" s="1"/>
  <c r="E9" i="4"/>
  <c r="F38" i="4" l="1"/>
  <c r="F39" i="4" s="1"/>
  <c r="F12" i="4"/>
  <c r="G11" i="4"/>
  <c r="E12" i="4"/>
  <c r="E22" i="4" l="1"/>
  <c r="F22" i="4" s="1"/>
  <c r="E23" i="4"/>
  <c r="F23" i="4" s="1"/>
  <c r="G23" i="4" s="1"/>
  <c r="G38" i="4"/>
  <c r="G22" i="4" l="1"/>
  <c r="E36" i="4"/>
  <c r="E37" i="4" s="1"/>
  <c r="G24" i="4" l="1"/>
  <c r="E39" i="4"/>
  <c r="G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  <c r="M123" i="8"/>
  <c r="M125" i="8" s="1"/>
</calcChain>
</file>

<file path=xl/sharedStrings.xml><?xml version="1.0" encoding="utf-8"?>
<sst xmlns="http://schemas.openxmlformats.org/spreadsheetml/2006/main" count="537" uniqueCount="444">
  <si>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</si>
  <si>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</si>
  <si>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</si>
  <si>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</si>
  <si>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</si>
  <si>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</si>
  <si>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</si>
  <si>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</si>
  <si>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</si>
  <si>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</si>
  <si>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</si>
  <si>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</si>
  <si>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</si>
  <si>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</si>
  <si>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</si>
  <si>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</si>
  <si>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</si>
  <si>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</si>
  <si>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</si>
  <si>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</si>
  <si>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</si>
  <si>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</si>
  <si>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</si>
  <si>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</si>
  <si>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</si>
  <si>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</si>
  <si>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</si>
  <si>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</si>
  <si>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</si>
  <si>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</si>
  <si>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</si>
  <si>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</si>
  <si>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</si>
  <si>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</si>
  <si>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</si>
  <si>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</si>
  <si>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</si>
  <si>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</si>
  <si>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</si>
  <si>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</si>
  <si>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</si>
  <si>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</si>
  <si>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</si>
  <si>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</si>
  <si>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</si>
  <si>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</si>
  <si>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</si>
  <si>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</si>
  <si>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</si>
  <si>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</si>
  <si>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</si>
  <si>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</si>
  <si>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</si>
  <si>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</si>
  <si>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</si>
  <si>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</si>
  <si>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</si>
  <si>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</si>
  <si>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</si>
  <si>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</si>
  <si>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</si>
  <si>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</si>
  <si>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</si>
  <si>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</si>
  <si>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</si>
  <si>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</si>
  <si>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</si>
  <si>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</si>
  <si>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</si>
  <si>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</si>
  <si>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</si>
  <si>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</si>
  <si>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</si>
  <si>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</si>
  <si>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</si>
  <si>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</si>
  <si>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</si>
  <si>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</si>
  <si>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</si>
  <si>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</si>
  <si>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</si>
  <si>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</si>
  <si>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</si>
  <si>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</si>
  <si>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</si>
  <si>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</si>
  <si>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</si>
  <si>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</si>
  <si>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</si>
  <si>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</si>
  <si>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</si>
  <si>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</si>
  <si>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</si>
  <si>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</si>
  <si>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</si>
  <si>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</si>
  <si>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</si>
  <si>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</si>
  <si>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</si>
  <si>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</si>
  <si>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</si>
  <si>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</si>
  <si>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</si>
  <si>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</si>
  <si>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</si>
  <si>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</si>
  <si>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</si>
  <si>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</si>
  <si>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</si>
  <si>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</si>
  <si>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</si>
  <si>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</si>
  <si>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</si>
  <si>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</si>
  <si>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</si>
  <si>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</si>
  <si>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</si>
  <si>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</si>
  <si>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</si>
  <si>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</si>
  <si>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</si>
  <si>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</si>
  <si>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</si>
  <si>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</si>
  <si>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</si>
  <si>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</si>
  <si>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</si>
  <si>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</si>
  <si>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</si>
  <si>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</si>
  <si>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</si>
  <si>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</si>
  <si>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</si>
  <si>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</si>
  <si>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</si>
  <si>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</si>
  <si>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</si>
  <si>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</si>
  <si>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</si>
  <si>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</si>
  <si>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</si>
  <si>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</si>
  <si>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</si>
  <si>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</si>
  <si>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</si>
  <si>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</si>
  <si>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</si>
  <si>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</si>
  <si>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</si>
  <si>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</si>
  <si>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</si>
  <si>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</si>
  <si>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</si>
  <si>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</si>
  <si>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</si>
  <si>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</si>
  <si>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</si>
  <si>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</si>
  <si>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</si>
  <si>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</si>
  <si>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</si>
  <si>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</si>
  <si>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</si>
  <si>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</si>
  <si>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</si>
  <si>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</si>
  <si>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</si>
  <si>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</si>
  <si>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</si>
  <si>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</si>
  <si>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</si>
  <si>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</si>
  <si>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</si>
  <si>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</si>
  <si>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</si>
  <si>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</si>
  <si>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</si>
  <si>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</si>
  <si>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</si>
  <si>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</si>
  <si>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</si>
  <si>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</si>
  <si>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</si>
  <si>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</si>
  <si>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</si>
  <si>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</si>
  <si>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</si>
  <si>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</si>
  <si>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</si>
  <si>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</si>
  <si>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</si>
  <si>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</si>
  <si>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</si>
  <si>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</si>
  <si>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</si>
  <si>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</si>
  <si>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</si>
  <si>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</si>
  <si>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</si>
  <si>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</si>
  <si>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</si>
  <si>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</si>
  <si>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</si>
  <si>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</si>
  <si>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</si>
  <si>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</si>
  <si>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</si>
  <si>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</si>
  <si>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</si>
  <si>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</si>
  <si>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</si>
  <si>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</si>
  <si>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</si>
  <si>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</si>
  <si>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</si>
  <si>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</si>
  <si>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</si>
  <si>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</si>
  <si>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</si>
  <si>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</si>
  <si>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</si>
  <si>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</si>
  <si>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</si>
  <si>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</si>
  <si>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</si>
  <si>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</si>
  <si>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</si>
  <si>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</si>
  <si>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</si>
  <si>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</si>
  <si>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</si>
  <si>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</si>
  <si>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</si>
  <si>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</si>
  <si>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</si>
  <si>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</si>
  <si>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</si>
  <si>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</si>
  <si>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</si>
  <si>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</si>
  <si>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</si>
  <si>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</si>
  <si>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</si>
  <si>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</si>
  <si>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</si>
  <si>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</si>
  <si>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</si>
  <si>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</si>
  <si>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</si>
  <si>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</si>
  <si>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</si>
  <si>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</si>
  <si>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</si>
  <si>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</si>
  <si>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</si>
  <si>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</si>
  <si>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</si>
  <si>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</si>
  <si>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</si>
  <si>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</si>
  <si>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</si>
  <si>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</si>
  <si>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</si>
  <si>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</si>
  <si>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</si>
  <si>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</si>
  <si>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</si>
  <si>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</si>
  <si>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</si>
  <si>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</si>
  <si>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</si>
  <si>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</si>
  <si>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</si>
  <si>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</si>
  <si>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</si>
  <si>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</si>
  <si>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</si>
  <si>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</si>
  <si>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</si>
  <si>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</si>
  <si>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</si>
  <si>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</si>
  <si>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</si>
  <si>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</si>
  <si>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</si>
  <si>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</si>
  <si>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</si>
  <si>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</si>
  <si>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</si>
  <si>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</si>
  <si>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</si>
  <si>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</si>
  <si>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</si>
  <si>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</si>
  <si>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</si>
  <si>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</si>
  <si>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</si>
  <si>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</si>
  <si>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</si>
  <si>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</si>
  <si>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</si>
  <si>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</si>
  <si>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</si>
  <si>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</si>
  <si>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</si>
  <si>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</si>
  <si>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</si>
  <si>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</si>
  <si>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</si>
  <si>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</si>
  <si>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</si>
  <si>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</si>
  <si>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</si>
  <si>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</si>
  <si>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</si>
  <si>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</si>
  <si>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</si>
  <si>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</si>
  <si>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</si>
  <si>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</si>
  <si>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</si>
  <si>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</si>
  <si>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</si>
  <si>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</si>
  <si>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</si>
  <si>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</si>
  <si>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</si>
  <si>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</si>
  <si>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</si>
  <si>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</si>
  <si>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</si>
  <si>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</si>
  <si>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</si>
  <si>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</si>
  <si>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</si>
  <si>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</si>
  <si>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</si>
  <si>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</si>
  <si>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</si>
  <si>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</si>
  <si>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</si>
  <si>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</si>
  <si>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</si>
  <si>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</si>
  <si>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</si>
  <si>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</si>
  <si>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</si>
  <si>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</si>
  <si>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</si>
  <si>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</si>
  <si>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</si>
  <si>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</si>
  <si>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</si>
  <si>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</si>
  <si>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</si>
  <si>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</si>
  <si>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</si>
  <si>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交通用户</t>
  </si>
  <si>
    <t>批发业务</t>
  </si>
  <si>
    <t>原材料及消耗品</t>
  </si>
  <si>
    <t>每新增一户的收入(千元)</t>
  </si>
  <si>
    <t>LNG价格 (元/吨)</t>
  </si>
  <si>
    <t>Modeling Framework</t>
  </si>
  <si>
    <t>Operating Expense</t>
  </si>
  <si>
    <t>占比</t>
  </si>
  <si>
    <t>成本端:</t>
  </si>
  <si>
    <t>收入端:</t>
  </si>
  <si>
    <t>平均每立方米价格 (元)</t>
  </si>
  <si>
    <t>住宅用户</t>
  </si>
  <si>
    <t>工商业用户</t>
  </si>
  <si>
    <t>总销气量 (万立方米)</t>
  </si>
  <si>
    <t>累计接驳用户</t>
  </si>
  <si>
    <t>城燃住宅用户</t>
  </si>
  <si>
    <t>乡镇住宅用户</t>
  </si>
  <si>
    <t>新增管道燃气用户</t>
  </si>
  <si>
    <t>增长空间分析：</t>
  </si>
  <si>
    <t>a. 河南气化率</t>
  </si>
  <si>
    <t>b. 世界主要国家气化率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</si>
  <si>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</si>
  <si>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</si>
  <si>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</si>
  <si>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</si>
  <si>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</si>
  <si>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</si>
  <si>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</si>
  <si>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</si>
  <si>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</si>
  <si>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</si>
  <si>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</si>
  <si>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</si>
  <si>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</si>
  <si>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</si>
  <si>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</si>
  <si>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</si>
  <si>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</si>
  <si>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</si>
  <si>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</si>
  <si>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</si>
  <si>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</si>
  <si>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</si>
  <si>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operating assets =</t>
  </si>
  <si>
    <t>Earnings</t>
  </si>
  <si>
    <t>*</t>
  </si>
  <si>
    <t>P/E Ratio</t>
  </si>
  <si>
    <t xml:space="preserve">non-operating assts = </t>
  </si>
  <si>
    <t>BV</t>
  </si>
  <si>
    <t>discount factor</t>
  </si>
  <si>
    <t>Net Cash</t>
  </si>
  <si>
    <t>-</t>
  </si>
  <si>
    <t>intrinsic Value</t>
  </si>
  <si>
    <t>discount</t>
  </si>
  <si>
    <t>/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</si>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</sst>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4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5" fillId="10" borderId="9" xfId="0" applyFont="1" applyFill="1" applyBorder="1"/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3" fontId="5" fillId="13" borderId="9" xfId="0" applyNumberFormat="1" applyFont="1" applyFill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5" fillId="0" borderId="0" xfId="0" applyFont="1" applyAlignment="1">
      <alignment horizontal="right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80" fontId="14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4" fontId="5" fillId="8" borderId="0" xfId="0" applyNumberFormat="1" applyFont="1" applyFill="1" applyAlignment="1">
      <alignment horizontal="center"/>
    </xf>
    <xf numFmtId="10" fontId="5" fillId="0" borderId="0" xfId="0" applyNumberFormat="1" applyFont="1" applyAlignment="1">
      <alignment horizontal="right"/>
    </xf>
    <xf numFmtId="0" fontId="24" fillId="0" borderId="0" xfId="0" applyFont="1" applyAlignment="1">
      <alignment horizontal="left"/>
    </xf>
    <xf numFmtId="3" fontId="2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4" zoomScaleNormal="100" workbookViewId="0">
      <selection activeCell="C23" sqref="C23:F23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60" t="s">
        <v>413</v>
      </c>
      <c r="D3" s="361"/>
      <c r="E3" s="6"/>
      <c r="G3" s="7" t="s">
        <v>2</v>
      </c>
      <c r="I3" s="369" t="s">
        <v>3</v>
      </c>
      <c r="J3" s="369"/>
    </row>
    <row r="4" spans="1:12" ht="15.75" customHeight="1">
      <c r="B4" s="5" t="s">
        <v>4</v>
      </c>
      <c r="C4" s="362" t="s">
        <v>414</v>
      </c>
      <c r="D4" s="331"/>
      <c r="E4" s="6"/>
      <c r="G4" s="5" t="s">
        <v>5</v>
      </c>
      <c r="I4" s="221">
        <v>7.47</v>
      </c>
      <c r="J4" s="222" t="s">
        <v>6</v>
      </c>
      <c r="K4" s="92"/>
    </row>
    <row r="5" spans="1:12" ht="15.75" customHeight="1">
      <c r="B5" s="5" t="s">
        <v>7</v>
      </c>
      <c r="C5" s="363">
        <v>45154</v>
      </c>
      <c r="D5" s="331"/>
      <c r="E5" s="79" t="str">
        <f ca="1">IF(C5+30&gt;=TODAY(),"Patience Premium","")</f>
        <v>Patience Premium</v>
      </c>
      <c r="G5" s="5" t="s">
        <v>8</v>
      </c>
      <c r="I5" s="330">
        <v>791574976</v>
      </c>
      <c r="J5" s="330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44985</v>
      </c>
      <c r="E6" s="128">
        <f>IF(Asset_Model!E9="FY",Asset_Model!D9,Data!C3)</f>
        <v>44926</v>
      </c>
      <c r="G6" s="85" t="s">
        <v>9</v>
      </c>
      <c r="H6" s="84"/>
      <c r="I6" s="370">
        <f>I4*I5/1000000</f>
        <v>5913.0650707200002</v>
      </c>
      <c r="J6" s="370"/>
      <c r="K6" s="91"/>
    </row>
    <row r="7" spans="1:12" ht="15.75" customHeight="1">
      <c r="B7" s="86" t="s">
        <v>10</v>
      </c>
      <c r="C7" s="218">
        <f>(Data!C42*Exchange_Rate)/I4</f>
        <v>3.0779299368988496E-2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10.152038661999036</v>
      </c>
      <c r="J9" s="166">
        <f>IF(I9="NNI","NNI",1/I9)</f>
        <v>9.8502382949267664E-2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1.4366839645237965</v>
      </c>
      <c r="J10" s="223">
        <f>I4/(Data!C7*Data!C4/Common_Shares*Exchange_Rate)</f>
        <v>0.55147043367780657</v>
      </c>
    </row>
    <row r="11" spans="1:12" ht="15.75" customHeight="1" thickBot="1">
      <c r="B11" s="124" t="s">
        <v>227</v>
      </c>
      <c r="C11" s="340">
        <f ca="1">C12-D10</f>
        <v>6.7000000000000004E-2</v>
      </c>
      <c r="D11" s="341"/>
      <c r="E11" s="13"/>
      <c r="G11" s="5" t="s">
        <v>14</v>
      </c>
      <c r="H11" s="6"/>
      <c r="I11" s="369" t="s">
        <v>6</v>
      </c>
      <c r="J11" s="369"/>
    </row>
    <row r="12" spans="1:12" ht="15.75" customHeight="1" thickTop="1">
      <c r="B12" s="125" t="s">
        <v>124</v>
      </c>
      <c r="C12" s="376">
        <f ca="1">IF(C10="CN",8%,6%)*IF($C$5+30&gt;=TODAY(),1.2,1)</f>
        <v>9.6000000000000002E-2</v>
      </c>
      <c r="D12" s="377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8.6600434776613096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7.47</v>
      </c>
      <c r="C16" s="356">
        <v>0.2</v>
      </c>
      <c r="D16" s="238">
        <f ca="1">I37/B16-(1+C16)</f>
        <v>0.26740178799961534</v>
      </c>
      <c r="E16" s="350" t="s">
        <v>21</v>
      </c>
      <c r="F16" s="371">
        <f>(Val_Models!G16)*Exchange_Rate</f>
        <v>1.9058544257105325</v>
      </c>
      <c r="G16" s="350" t="s">
        <v>22</v>
      </c>
      <c r="H16" s="239">
        <f>B16-$F$16</f>
        <v>5.5641455742894674</v>
      </c>
      <c r="I16" s="345">
        <v>2.3E-2</v>
      </c>
      <c r="J16" s="166">
        <f>I16/B16</f>
        <v>3.0789825970548861E-3</v>
      </c>
    </row>
    <row r="17" spans="1:10" ht="15.75" customHeight="1">
      <c r="B17" s="116">
        <f ca="1">MIN((I37+I38)/2,I37/(1+C16), IF(J20=0,E14,I37/(1+C16)))</f>
        <v>8.9447630692430877</v>
      </c>
      <c r="C17" s="357"/>
      <c r="D17" s="149">
        <f ca="1">I37/B17-(1+C16)</f>
        <v>2.5464696102307727E-2</v>
      </c>
      <c r="E17" s="351"/>
      <c r="F17" s="372"/>
      <c r="G17" s="351"/>
      <c r="H17" s="236">
        <f ca="1">B17-$F$16</f>
        <v>7.0389086435325554</v>
      </c>
      <c r="I17" s="346"/>
      <c r="J17" s="149">
        <f ca="1">I16/B17</f>
        <v>2.5713369735959118E-3</v>
      </c>
    </row>
    <row r="18" spans="1:10" ht="15.75" customHeight="1">
      <c r="B18" s="129">
        <f>C37</f>
        <v>7.15</v>
      </c>
      <c r="C18" s="358"/>
      <c r="D18" s="237">
        <f ca="1">I37/B18-(1+C16)</f>
        <v>0.33307571417582182</v>
      </c>
      <c r="E18" s="352"/>
      <c r="F18" s="373"/>
      <c r="G18" s="352"/>
      <c r="H18" s="98">
        <f>B18-$F$16</f>
        <v>5.244145574289468</v>
      </c>
      <c r="I18" s="347"/>
      <c r="J18" s="158">
        <f>I16/B18</f>
        <v>3.2167832167832168E-3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66" t="s">
        <v>417</v>
      </c>
      <c r="D21" s="367"/>
      <c r="E21" s="368"/>
      <c r="F21" s="368"/>
      <c r="G21" s="368"/>
      <c r="H21" s="368"/>
      <c r="I21" s="368"/>
      <c r="J21" s="368"/>
    </row>
    <row r="22" spans="1:10" ht="52.5" customHeight="1">
      <c r="A22" s="6"/>
      <c r="B22" s="19" t="s">
        <v>25</v>
      </c>
      <c r="C22" s="375" t="s">
        <v>418</v>
      </c>
      <c r="D22" s="361"/>
      <c r="E22" s="361"/>
      <c r="F22" s="361"/>
      <c r="G22" s="375" t="s">
        <v>419</v>
      </c>
      <c r="H22" s="375"/>
      <c r="I22" s="361"/>
      <c r="J22" s="361"/>
    </row>
    <row r="23" spans="1:10" ht="52.5" customHeight="1">
      <c r="A23" s="6"/>
      <c r="B23" s="138" t="s">
        <v>26</v>
      </c>
      <c r="C23" s="348" t="s">
        <v>421</v>
      </c>
      <c r="D23" s="349"/>
      <c r="E23" s="349"/>
      <c r="F23" s="349"/>
      <c r="G23" s="348" t="s">
        <v>420</v>
      </c>
      <c r="H23" s="348"/>
      <c r="I23" s="349"/>
      <c r="J23" s="349"/>
    </row>
    <row r="24" spans="1:10" ht="52.5" customHeight="1">
      <c r="A24" s="6"/>
      <c r="B24" s="19" t="s">
        <v>292</v>
      </c>
      <c r="C24" s="378" t="s">
        <v>442</v>
      </c>
      <c r="D24" s="378"/>
      <c r="E24" s="378"/>
      <c r="F24" s="378"/>
      <c r="G24" s="378"/>
      <c r="H24" s="378"/>
      <c r="I24" s="378"/>
      <c r="J24" s="378"/>
    </row>
    <row r="25" spans="1:10" ht="52.5" customHeight="1">
      <c r="A25" s="6"/>
      <c r="B25" s="138" t="s">
        <v>291</v>
      </c>
      <c r="C25" s="379" t="s">
        <v>443</v>
      </c>
      <c r="D25" s="379"/>
      <c r="E25" s="379"/>
      <c r="F25" s="379"/>
      <c r="G25" s="379"/>
      <c r="H25" s="379"/>
      <c r="I25" s="379"/>
      <c r="J25" s="37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64"/>
      <c r="D28" s="365"/>
      <c r="E28" s="355" t="str">
        <f>IF(C28="","","Action_Planning")</f>
        <v/>
      </c>
      <c r="F28" s="355"/>
      <c r="G28" s="355"/>
      <c r="H28" s="355"/>
      <c r="I28" s="374" t="s">
        <v>30</v>
      </c>
      <c r="J28" s="374"/>
    </row>
    <row r="29" spans="1:10" ht="15.75" customHeight="1">
      <c r="B29" s="18" t="s">
        <v>31</v>
      </c>
      <c r="C29" s="344">
        <f>C33/D27</f>
        <v>0.17333333333333334</v>
      </c>
      <c r="D29" s="338"/>
      <c r="E29" s="343">
        <f>E33/D27</f>
        <v>0</v>
      </c>
      <c r="F29" s="338"/>
      <c r="G29" s="354">
        <f>G33/D27</f>
        <v>0</v>
      </c>
      <c r="H29" s="354"/>
      <c r="I29" s="353">
        <f>C29+E29+G29</f>
        <v>0.17333333333333334</v>
      </c>
      <c r="J29" s="353"/>
    </row>
    <row r="30" spans="1:10" ht="15.75" customHeight="1">
      <c r="B30" s="18" t="s">
        <v>32</v>
      </c>
      <c r="C30" s="330">
        <v>16000</v>
      </c>
      <c r="D30" s="331"/>
      <c r="E30" s="330"/>
      <c r="F30" s="331"/>
      <c r="G30" s="330"/>
      <c r="H30" s="330"/>
      <c r="I30" s="359">
        <f>C30+E30+G30</f>
        <v>16000</v>
      </c>
      <c r="J30" s="359"/>
    </row>
    <row r="31" spans="1:10" ht="15.75" customHeight="1">
      <c r="B31" s="18" t="s">
        <v>33</v>
      </c>
      <c r="C31" s="332">
        <v>7.15</v>
      </c>
      <c r="D31" s="331"/>
      <c r="E31" s="332"/>
      <c r="F31" s="331"/>
      <c r="G31" s="332"/>
      <c r="H31" s="332"/>
      <c r="I31" s="342"/>
      <c r="J31" s="342"/>
    </row>
    <row r="32" spans="1:10" ht="15.75" customHeight="1">
      <c r="B32" s="18" t="s">
        <v>34</v>
      </c>
      <c r="C32" s="339">
        <f>C31*$I$5/1000000</f>
        <v>5659.7610784000008</v>
      </c>
      <c r="D32" s="338"/>
      <c r="E32" s="339">
        <f>E31*$I$5/1000000</f>
        <v>0</v>
      </c>
      <c r="F32" s="338"/>
      <c r="G32" s="339">
        <f>G31*$I$5/1000000</f>
        <v>0</v>
      </c>
      <c r="H32" s="339"/>
      <c r="I32" s="342"/>
      <c r="J32" s="342"/>
    </row>
    <row r="33" spans="2:11" ht="15.75" customHeight="1">
      <c r="B33" s="2" t="s">
        <v>35</v>
      </c>
      <c r="C33" s="335">
        <f>C30*C31</f>
        <v>114400</v>
      </c>
      <c r="D33" s="336"/>
      <c r="E33" s="335">
        <f>E30*E31</f>
        <v>0</v>
      </c>
      <c r="F33" s="336"/>
      <c r="G33" s="335">
        <f>G30*G31</f>
        <v>0</v>
      </c>
      <c r="H33" s="335"/>
      <c r="I33" s="335">
        <f>C33+E33+G33</f>
        <v>114400</v>
      </c>
      <c r="J33" s="335"/>
    </row>
    <row r="34" spans="2:11" ht="15.75" customHeight="1">
      <c r="B34" s="1" t="s">
        <v>36</v>
      </c>
      <c r="C34" s="342"/>
      <c r="D34" s="385"/>
      <c r="E34" s="337">
        <f>IF(C33=0,"-",(C33+E33)/(C30+E30))</f>
        <v>7.15</v>
      </c>
      <c r="F34" s="338"/>
      <c r="G34" s="78"/>
      <c r="H34" s="78"/>
      <c r="I34" s="337">
        <f>IF(I33=0,"",I33/I30)</f>
        <v>7.15</v>
      </c>
      <c r="J34" s="337"/>
    </row>
    <row r="35" spans="2:11" ht="15.75" customHeight="1">
      <c r="B35" s="1" t="s">
        <v>37</v>
      </c>
      <c r="C35" s="386"/>
      <c r="D35" s="387"/>
      <c r="E35" s="333">
        <f>IF(E34="-","-",E34*$I$5/1000000)</f>
        <v>5659.7610784000008</v>
      </c>
      <c r="F35" s="334"/>
      <c r="G35" s="230"/>
      <c r="H35" s="230"/>
      <c r="I35" s="333">
        <f>IF(I34="","",I34*$I$5/1000000)</f>
        <v>5659.7610784000008</v>
      </c>
      <c r="J35" s="333"/>
    </row>
    <row r="36" spans="2:11" ht="15.75" customHeight="1"/>
    <row r="37" spans="2:11" ht="15.75" customHeight="1">
      <c r="B37" s="87" t="s">
        <v>256</v>
      </c>
      <c r="C37" s="383">
        <f>C31</f>
        <v>7.15</v>
      </c>
      <c r="D37" s="384"/>
      <c r="E37" s="79" t="str">
        <f ca="1">IF(C37&gt;B17,"Caution! &gt; Breakeven price!","")</f>
        <v/>
      </c>
      <c r="F37" s="6"/>
      <c r="G37" s="380" t="s">
        <v>316</v>
      </c>
      <c r="H37" s="380"/>
      <c r="I37" s="381">
        <f ca="1">Val_Models!C46</f>
        <v>10.961491356357126</v>
      </c>
      <c r="J37" s="382"/>
    </row>
    <row r="38" spans="2:11" ht="15.75" customHeight="1">
      <c r="B38" s="87" t="s">
        <v>281</v>
      </c>
      <c r="C38" s="383">
        <f>E34</f>
        <v>7.15</v>
      </c>
      <c r="D38" s="384"/>
      <c r="E38" s="6"/>
      <c r="F38" s="6"/>
      <c r="G38" s="380" t="s">
        <v>280</v>
      </c>
      <c r="H38" s="380"/>
      <c r="I38" s="381">
        <f ca="1">Val_Models!C47</f>
        <v>6.928034782129048</v>
      </c>
      <c r="J38" s="38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0.53307571417582178</v>
      </c>
      <c r="F47" s="171">
        <f ca="1">I37/C38-1</f>
        <v>0.53307571417582178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-3.1044086415517813E-2</v>
      </c>
      <c r="F48" s="171">
        <f ca="1">Val_Models!C47/C38-1</f>
        <v>-3.1044086415517813E-2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0.6104666567896766</v>
      </c>
      <c r="F50" s="171">
        <f ca="1">IF(F47&lt;=0,0,AVERAGE(F41:F44,0.5*(1+F47+F48-C16)))</f>
        <v>0.6104666567896766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17.17157036096113</v>
      </c>
      <c r="F51" s="234">
        <f ca="1">IF(F48&gt;=0,100,F47/ABS(F48))</f>
        <v>17.17157036096113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2.5360609967979886</v>
      </c>
      <c r="F52" s="232">
        <f ca="1">MAX(C16*2.5/F47,1)+IF(F47&lt;C16,100,0)+IF(D18&lt;0,100,0)+IF(J20=1,2/(1+F47+F48-C16),0)</f>
        <v>2.5360609967979886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0.23176961231462462</v>
      </c>
      <c r="F53" s="217">
        <f ca="1">MIN(MAX(F50-ABS((1-F50)/F51),0)/F52,H53)</f>
        <v>0.23176961231462462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0" priority="12" operator="lessThan">
      <formula>$B$18</formula>
    </cfRule>
  </conditionalFormatting>
  <conditionalFormatting sqref="B18">
    <cfRule type="cellIs" dxfId="19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8" priority="25" operator="lessThan">
      <formula>0</formula>
    </cfRule>
  </conditionalFormatting>
  <conditionalFormatting sqref="E14">
    <cfRule type="cellIs" dxfId="17" priority="17" operator="greaterThan">
      <formula>$B$16</formula>
    </cfRule>
  </conditionalFormatting>
  <conditionalFormatting sqref="E51:F51">
    <cfRule type="cellIs" dxfId="16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5" priority="13">
      <formula>LEN(TRIM(E28))=0</formula>
    </cfRule>
  </conditionalFormatting>
  <conditionalFormatting sqref="F16">
    <cfRule type="cellIs" dxfId="14" priority="20" operator="greaterThan">
      <formula>$B$16</formula>
    </cfRule>
  </conditionalFormatting>
  <conditionalFormatting sqref="G16">
    <cfRule type="cellIs" dxfId="13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412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354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346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394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IF(D7="","",(C7-D7)*Asset_Model!$D$68)</f>
        <v>1023356.9321999999</v>
      </c>
      <c r="D35" s="154">
        <f>IF(E7="","",(D7-E7)*Asset_Model!$D$68)</f>
        <v>1101061.8440999999</v>
      </c>
      <c r="E35" s="154">
        <f>IF(F7="","",(E7-F7)*Asset_Model!$D$68)</f>
        <v>326761.75439999998</v>
      </c>
      <c r="F35" s="154" t="str">
        <f>IF(G7="","",(F7-G7)*Asset_Model!$D$68)</f>
        <v/>
      </c>
      <c r="G35" s="154" t="str">
        <f>IF(H7="","",(G7-H7)*Asset_Model!$D$68)</f>
        <v/>
      </c>
      <c r="H35" s="154" t="str">
        <f>IF(I7="","",(H7-I7)*Asset_Model!$D$68)</f>
        <v/>
      </c>
      <c r="I35" s="154" t="str">
        <f>IF(J7="","",(I7-J7)*Asset_Model!$D$68)</f>
        <v/>
      </c>
      <c r="J35" s="154" t="str">
        <f>IF(K7="","",(J7-K7)*Asset_Model!$D$68)</f>
        <v/>
      </c>
      <c r="K35" s="154" t="str">
        <f>IF(L7="","",(K7-L7)*Asset_Model!$D$68)</f>
        <v/>
      </c>
      <c r="L35" s="154" t="str">
        <f>IF(M7="","",(L7-M7)*Asset_Model!$D$68)</f>
        <v/>
      </c>
      <c r="M35" s="154" t="str">
        <f>IF(N7="","",(M7-N7)*Asset_Model!$D$68)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345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348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384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396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416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415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2" priority="2">
      <formula>$C$58="No"</formula>
    </cfRule>
  </conditionalFormatting>
  <conditionalFormatting sqref="C7:M38 D45:M49 D51:M55">
    <cfRule type="containsBlanks" dxfId="11" priority="5">
      <formula>LEN(TRIM(C7))=0</formula>
    </cfRule>
  </conditionalFormatting>
  <conditionalFormatting sqref="C40:M43">
    <cfRule type="containsBlanks" dxfId="10" priority="7">
      <formula>LEN(TRIM(C40))=0</formula>
    </cfRule>
  </conditionalFormatting>
  <conditionalFormatting sqref="D17:M18">
    <cfRule type="containsBlanks" dxfId="9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C34" sqref="C34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1051142.5712913082</v>
      </c>
      <c r="E6" s="149">
        <f>1-D6/D3</f>
        <v>0.74280305391782897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1.3279128360057053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44742</v>
      </c>
      <c r="E9" s="189" t="s">
        <v>423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4" t="s">
        <v>74</v>
      </c>
      <c r="D10" s="284" t="s">
        <v>75</v>
      </c>
      <c r="E10" s="284" t="s">
        <v>76</v>
      </c>
      <c r="F10" s="285" t="s">
        <v>202</v>
      </c>
      <c r="G10" s="6"/>
      <c r="H10" s="40" t="s">
        <v>77</v>
      </c>
      <c r="I10" s="284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352</v>
      </c>
      <c r="I14" s="179">
        <v>0</v>
      </c>
      <c r="J14" s="6"/>
      <c r="K14" s="47"/>
    </row>
    <row r="15" spans="1:11" ht="13.9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351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5" t="s">
        <v>434</v>
      </c>
      <c r="G23" s="6"/>
      <c r="H23" s="6"/>
      <c r="I23" s="6"/>
    </row>
    <row r="24" spans="2:10" ht="15" customHeight="1">
      <c r="B24" s="41" t="s">
        <v>424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432</v>
      </c>
      <c r="I24" s="327">
        <f>I11+I12+I13</f>
        <v>721194</v>
      </c>
    </row>
    <row r="25" spans="2:10" ht="15" customHeight="1">
      <c r="B25" s="41" t="s">
        <v>428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435</v>
      </c>
      <c r="I25" s="184">
        <f>E28/I28</f>
        <v>1.1452720082709331</v>
      </c>
    </row>
    <row r="26" spans="2:10" ht="15" customHeight="1">
      <c r="B26" s="41" t="s">
        <v>426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427</v>
      </c>
      <c r="C27" s="320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21" t="s">
        <v>93</v>
      </c>
      <c r="C28" s="322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21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353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425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433</v>
      </c>
      <c r="I44" s="327">
        <f>I30+I31+I32</f>
        <v>84082</v>
      </c>
    </row>
    <row r="45" spans="2:10" ht="15" customHeight="1">
      <c r="B45" s="41" t="s">
        <v>429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430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431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23" t="s">
        <v>108</v>
      </c>
      <c r="C48" s="324">
        <f>SUM(C30:C42)</f>
        <v>1836346</v>
      </c>
      <c r="D48" s="325">
        <f>E48/C48</f>
        <v>0.40272364249438836</v>
      </c>
      <c r="E48" s="319">
        <f>SUM(E30:E42)</f>
        <v>739539.95000000007</v>
      </c>
      <c r="F48" s="6"/>
      <c r="G48" s="6"/>
      <c r="H48" s="323" t="s">
        <v>109</v>
      </c>
      <c r="I48" s="326">
        <v>217792</v>
      </c>
      <c r="J48" s="13"/>
    </row>
    <row r="49" spans="2:10" ht="15" customHeight="1" thickTop="1">
      <c r="B49" s="5" t="s">
        <v>412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4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50606</v>
      </c>
      <c r="D53" s="54">
        <f>IF(E53=0, 0,E53/C53)</f>
        <v>1.4366839645237965</v>
      </c>
      <c r="E53" s="51">
        <f>MAX(C53,C53*Dashboard!I10)</f>
        <v>72704.828708691246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88">
        <f>D56+D57+D58</f>
        <v>805276</v>
      </c>
      <c r="E55" s="389"/>
      <c r="F55" s="5"/>
      <c r="G55" s="5"/>
      <c r="H55" s="6"/>
      <c r="I55" s="6"/>
    </row>
    <row r="56" spans="2:10" ht="14.25" thickTop="1">
      <c r="B56" s="37" t="s">
        <v>197</v>
      </c>
      <c r="C56" s="6"/>
      <c r="D56" s="359">
        <f>SUM(I11:I13)+SUM(I30:I32)</f>
        <v>805276</v>
      </c>
      <c r="E56" s="390"/>
      <c r="F56" s="5"/>
      <c r="G56" s="5"/>
      <c r="H56" s="6" t="s">
        <v>263</v>
      </c>
      <c r="I56" s="149">
        <f>D56/I3</f>
        <v>0.1995079170063952</v>
      </c>
    </row>
    <row r="57" spans="2:10" ht="13.9">
      <c r="B57" s="37" t="s">
        <v>112</v>
      </c>
      <c r="C57" s="6"/>
      <c r="D57" s="395">
        <v>0</v>
      </c>
      <c r="E57" s="331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95">
        <v>0</v>
      </c>
      <c r="E58" s="331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5" t="s">
        <v>350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>
      <c r="B63" s="32" t="s">
        <v>116</v>
      </c>
      <c r="C63" s="6"/>
      <c r="D63" s="359">
        <f>((Dashboard!I6*Data!C4)+D55+E53-C61-C62)</f>
        <v>4377711.8994286917</v>
      </c>
      <c r="E63" s="359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93">
        <f>((C28-C11-C12-C14-C15-C16*G16-C19*G19-C20*G20)-I28)/Data!C7</f>
        <v>1.0112977915964591E-2</v>
      </c>
      <c r="E66" s="394"/>
      <c r="F66" s="6"/>
      <c r="G66" s="6"/>
      <c r="H66" s="6"/>
      <c r="I66" s="6"/>
    </row>
    <row r="67" spans="2:9" ht="15" customHeight="1">
      <c r="B67" s="3" t="s">
        <v>222</v>
      </c>
      <c r="C67" s="6"/>
      <c r="D67" s="391">
        <v>0.34289999999999998</v>
      </c>
      <c r="E67" s="392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91">
        <v>0.34289999999999998</v>
      </c>
      <c r="E68" s="392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942"/>
  <sheetViews>
    <sheetView showGridLines="0" zoomScaleNormal="100" zoomScalePageLayoutView="80" workbookViewId="0">
      <selection activeCell="G9" sqref="G9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56"/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436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440</v>
      </c>
      <c r="L4" s="36"/>
    </row>
    <row r="5" spans="1:12" ht="15.75" customHeight="1">
      <c r="B5" s="118" t="s">
        <v>437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438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439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355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378</v>
      </c>
      <c r="C10" s="288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356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1:12" ht="15.75" customHeight="1">
      <c r="B17" s="14" t="s">
        <v>121</v>
      </c>
      <c r="C17" s="288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1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1:12" ht="15.75" customHeight="1">
      <c r="B19" s="209" t="s">
        <v>122</v>
      </c>
      <c r="C19" s="287"/>
      <c r="D19" s="287"/>
      <c r="E19" s="287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1:12" ht="15.75" customHeight="1">
      <c r="B20" s="14" t="s">
        <v>253</v>
      </c>
      <c r="C20" s="288"/>
      <c r="D20" s="288"/>
      <c r="E20" s="288"/>
      <c r="F20" s="171">
        <f>F21/F11</f>
        <v>1.0464509899171344E-2</v>
      </c>
      <c r="G20" s="149">
        <f>G21/G11</f>
        <v>1.412790724827202E-2</v>
      </c>
      <c r="H20" s="149" t="str">
        <f>IF(H11="","",H21/H11)</f>
        <v/>
      </c>
      <c r="I20" s="149" t="str">
        <f>IF(I11="","",I21/I11)</f>
        <v/>
      </c>
    </row>
    <row r="21" spans="1:12" ht="15.75" customHeight="1">
      <c r="B21" s="85" t="s">
        <v>69</v>
      </c>
      <c r="C21" s="289"/>
      <c r="D21" s="289"/>
      <c r="E21" s="289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1:12" ht="15.75" customHeight="1">
      <c r="B22" s="14" t="s">
        <v>342</v>
      </c>
      <c r="C22" s="290"/>
      <c r="D22" s="290"/>
      <c r="E22" s="290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1:12" ht="15.75" customHeight="1">
      <c r="B23" s="14" t="s">
        <v>344</v>
      </c>
      <c r="C23" s="291"/>
      <c r="D23" s="291"/>
      <c r="E23" s="291"/>
      <c r="F23" s="95">
        <f>Data!C33</f>
        <v>1176000</v>
      </c>
      <c r="G23" s="161">
        <v>260000</v>
      </c>
      <c r="H23" s="161"/>
      <c r="I23" s="161" t="str">
        <f>IF(I16="","",IF(ABS(H24+I24)=ABS(H24)+ABS(I24),IF(I24&lt;0,-1,1)*(I24-H24)/H24,"Turn"))</f>
        <v/>
      </c>
    </row>
    <row r="24" spans="1:12" ht="15.75" customHeight="1">
      <c r="B24" s="85" t="s">
        <v>347</v>
      </c>
      <c r="C24" s="292"/>
      <c r="D24" s="292"/>
      <c r="E24" s="292"/>
      <c r="F24" s="214">
        <f>F22+F23</f>
        <v>2199356.9321999997</v>
      </c>
      <c r="G24" s="214">
        <f>IF(G16="","",G22+G23)</f>
        <v>316516.54482800013</v>
      </c>
      <c r="H24" s="214" t="str">
        <f>IF(H16="","",H22+H23)</f>
        <v/>
      </c>
      <c r="I24" s="214" t="str">
        <f>IF(I16="","",I22+I23)</f>
        <v/>
      </c>
    </row>
    <row r="25" spans="1:12" ht="15.75" customHeight="1">
      <c r="B25" s="14" t="s">
        <v>336</v>
      </c>
      <c r="C25" s="288"/>
      <c r="D25" s="288"/>
      <c r="E25" s="288"/>
      <c r="F25" s="171">
        <f>AVERAGE(Data!C54:E54)</f>
        <v>2.6497863572380802E-2</v>
      </c>
      <c r="G25" s="396"/>
      <c r="H25" s="397"/>
      <c r="I25" s="398"/>
    </row>
    <row r="26" spans="1:12" ht="15.75" customHeight="1">
      <c r="B26" s="84" t="s">
        <v>123</v>
      </c>
      <c r="C26" s="292"/>
      <c r="D26" s="292"/>
      <c r="E26" s="292"/>
      <c r="F26" s="214">
        <f>F21-F24</f>
        <v>-2093284.4321999997</v>
      </c>
      <c r="G26" s="214">
        <f>G21-G24</f>
        <v>-171313.30482799991</v>
      </c>
      <c r="H26" s="214" t="str">
        <f>IF(H21="","",H21-H24)</f>
        <v/>
      </c>
      <c r="I26" s="214" t="str">
        <f>IF(I21="","",I21-I24)</f>
        <v/>
      </c>
    </row>
    <row r="27" spans="1:12" ht="15.75" customHeight="1"/>
    <row r="28" spans="1:12" ht="15.75" customHeight="1">
      <c r="A28" s="4"/>
      <c r="B28" s="56" t="s">
        <v>362</v>
      </c>
      <c r="C28" s="293">
        <f t="shared" ref="C28:I28" si="6">C3</f>
        <v>43830</v>
      </c>
      <c r="D28" s="293">
        <f t="shared" si="6"/>
        <v>44196</v>
      </c>
      <c r="E28" s="293">
        <f t="shared" si="6"/>
        <v>44561</v>
      </c>
      <c r="F28" s="293">
        <f t="shared" si="6"/>
        <v>44926</v>
      </c>
      <c r="G28" s="293">
        <f t="shared" si="6"/>
        <v>45291</v>
      </c>
      <c r="H28" s="293" t="str">
        <f t="shared" si="6"/>
        <v/>
      </c>
      <c r="I28" s="293" t="str">
        <f t="shared" si="6"/>
        <v/>
      </c>
      <c r="J28" s="12"/>
      <c r="K28" s="12"/>
    </row>
    <row r="29" spans="1:12" ht="15.75" customHeight="1"/>
    <row r="30" spans="1:12" ht="15.75" customHeight="1">
      <c r="B30" s="117" t="s">
        <v>366</v>
      </c>
    </row>
    <row r="31" spans="1:12" ht="15.75" customHeight="1"/>
    <row r="32" spans="1:12" ht="15.75" customHeight="1">
      <c r="B32" s="301" t="str">
        <f>"a. "&amp;B4</f>
        <v>a. 中国</v>
      </c>
      <c r="C32" s="302">
        <f>C4</f>
        <v>1600216</v>
      </c>
      <c r="D32" s="302">
        <f>D4</f>
        <v>2562909</v>
      </c>
      <c r="E32" s="302">
        <f>E4</f>
        <v>5067853</v>
      </c>
      <c r="F32" s="302">
        <f>F4</f>
        <v>7494766</v>
      </c>
      <c r="G32" s="302"/>
      <c r="H32" s="302"/>
      <c r="I32" s="301"/>
    </row>
    <row r="33" spans="2:9" ht="15.75" customHeight="1">
      <c r="B33" s="87"/>
      <c r="C33" s="295">
        <f>C$32*C37</f>
        <v>289639.09600000002</v>
      </c>
      <c r="D33" s="295">
        <f t="shared" ref="D33:F33" si="7">D$32*D37</f>
        <v>602283.61499999999</v>
      </c>
      <c r="E33" s="295">
        <f t="shared" si="7"/>
        <v>1003434.8940000001</v>
      </c>
      <c r="F33" s="295">
        <f t="shared" si="7"/>
        <v>1566406.094</v>
      </c>
      <c r="G33" s="295"/>
      <c r="H33" s="295"/>
      <c r="I33" s="295"/>
    </row>
    <row r="34" spans="2:9" ht="15.75" customHeight="1">
      <c r="B34" s="87"/>
      <c r="C34" s="295">
        <f t="shared" ref="C34:C36" si="8">$C$32*C38</f>
        <v>566476.46399999992</v>
      </c>
      <c r="D34" s="295">
        <f t="shared" ref="D34:F34" si="9">D$32*D38</f>
        <v>1345527.2250000001</v>
      </c>
      <c r="E34" s="295">
        <f t="shared" si="9"/>
        <v>2772115.591</v>
      </c>
      <c r="F34" s="295">
        <f t="shared" si="9"/>
        <v>4346964.2799999993</v>
      </c>
      <c r="G34" s="295"/>
      <c r="H34" s="295"/>
      <c r="I34" s="295"/>
    </row>
    <row r="35" spans="2:9" ht="15.75" customHeight="1">
      <c r="B35" s="87"/>
      <c r="C35" s="295">
        <f t="shared" si="8"/>
        <v>171223.11199999999</v>
      </c>
      <c r="D35" s="295">
        <f t="shared" ref="D35:F35" si="10">D$32*D39</f>
        <v>153774.54</v>
      </c>
      <c r="E35" s="295">
        <f t="shared" si="10"/>
        <v>329410.44500000001</v>
      </c>
      <c r="F35" s="295">
        <f t="shared" si="10"/>
        <v>502149.32200000004</v>
      </c>
      <c r="G35" s="295"/>
      <c r="H35" s="295"/>
      <c r="I35" s="295"/>
    </row>
    <row r="36" spans="2:9" ht="15.75" customHeight="1">
      <c r="B36" s="87"/>
      <c r="C36" s="295">
        <f t="shared" si="8"/>
        <v>572877.32799999998</v>
      </c>
      <c r="D36" s="295">
        <f t="shared" ref="D36:F36" si="11">D$32*D40</f>
        <v>461323.62</v>
      </c>
      <c r="E36" s="295">
        <f t="shared" si="11"/>
        <v>962892.07000000007</v>
      </c>
      <c r="F36" s="295">
        <f t="shared" si="11"/>
        <v>1079246.304</v>
      </c>
      <c r="G36" s="295"/>
      <c r="H36" s="295"/>
      <c r="I36" s="295"/>
    </row>
    <row r="37" spans="2:9" ht="15.75" customHeight="1">
      <c r="B37" s="286" t="s">
        <v>368</v>
      </c>
      <c r="C37" s="300">
        <v>0.18099999999999999</v>
      </c>
      <c r="D37" s="300">
        <v>0.23499999999999999</v>
      </c>
      <c r="E37" s="300">
        <v>0.19800000000000001</v>
      </c>
      <c r="F37" s="300">
        <v>0.20899999999999999</v>
      </c>
      <c r="G37" s="300"/>
      <c r="H37" s="300"/>
      <c r="I37" s="300"/>
    </row>
    <row r="38" spans="2:9" ht="15.75" customHeight="1">
      <c r="B38" s="286" t="s">
        <v>369</v>
      </c>
      <c r="C38" s="300">
        <v>0.35399999999999998</v>
      </c>
      <c r="D38" s="300">
        <v>0.52500000000000002</v>
      </c>
      <c r="E38" s="300">
        <v>0.54700000000000004</v>
      </c>
      <c r="F38" s="300">
        <v>0.57999999999999996</v>
      </c>
      <c r="G38" s="300"/>
      <c r="H38" s="300"/>
      <c r="I38" s="300"/>
    </row>
    <row r="39" spans="2:9" ht="15.75" customHeight="1">
      <c r="B39" s="286" t="s">
        <v>357</v>
      </c>
      <c r="C39" s="300">
        <v>0.107</v>
      </c>
      <c r="D39" s="300">
        <v>0.06</v>
      </c>
      <c r="E39" s="300">
        <v>6.5000000000000002E-2</v>
      </c>
      <c r="F39" s="300">
        <v>6.7000000000000004E-2</v>
      </c>
      <c r="G39" s="300"/>
      <c r="H39" s="300"/>
      <c r="I39" s="300"/>
    </row>
    <row r="40" spans="2:9" ht="15.75" customHeight="1">
      <c r="B40" s="286" t="s">
        <v>358</v>
      </c>
      <c r="C40" s="300">
        <v>0.35799999999999998</v>
      </c>
      <c r="D40" s="300">
        <v>0.18</v>
      </c>
      <c r="E40" s="300">
        <v>0.19</v>
      </c>
      <c r="F40" s="300">
        <v>0.14399999999999999</v>
      </c>
      <c r="G40" s="300"/>
      <c r="H40" s="300"/>
      <c r="I40" s="300"/>
    </row>
    <row r="41" spans="2:9" ht="15.75" customHeight="1">
      <c r="B41" s="87"/>
      <c r="C41" s="295"/>
      <c r="D41" s="295"/>
      <c r="E41" s="295"/>
      <c r="F41" s="295"/>
      <c r="G41" s="295"/>
      <c r="H41" s="295"/>
      <c r="I41" s="295"/>
    </row>
    <row r="42" spans="2:9" ht="15.75" customHeight="1">
      <c r="B42" s="120"/>
      <c r="C42" s="296"/>
      <c r="D42" s="296"/>
      <c r="E42" s="296"/>
      <c r="F42" s="296"/>
      <c r="G42" s="296"/>
      <c r="H42" s="296"/>
      <c r="I42" s="120"/>
    </row>
    <row r="43" spans="2:9" ht="15.75" customHeight="1">
      <c r="B43" s="87" t="s">
        <v>370</v>
      </c>
      <c r="C43" s="302">
        <v>156640</v>
      </c>
      <c r="D43" s="302">
        <v>151461</v>
      </c>
      <c r="E43" s="302">
        <v>194238</v>
      </c>
      <c r="F43" s="302">
        <v>191177</v>
      </c>
      <c r="G43" s="302"/>
      <c r="H43" s="302"/>
      <c r="I43" s="302"/>
    </row>
    <row r="44" spans="2:9" ht="15.75" customHeight="1">
      <c r="B44" s="87" t="s">
        <v>368</v>
      </c>
      <c r="C44" s="295">
        <f>C$43*C48</f>
        <v>31328</v>
      </c>
      <c r="D44" s="295">
        <f t="shared" ref="D44:F44" si="12">D$43*D48</f>
        <v>37562.328000000001</v>
      </c>
      <c r="E44" s="295">
        <f t="shared" si="12"/>
        <v>44674.740000000005</v>
      </c>
      <c r="F44" s="295">
        <f t="shared" si="12"/>
        <v>52382.498000000007</v>
      </c>
      <c r="G44" s="295"/>
      <c r="H44" s="295"/>
      <c r="I44" s="295"/>
    </row>
    <row r="45" spans="2:9" ht="15.75" customHeight="1">
      <c r="B45" s="87" t="s">
        <v>369</v>
      </c>
      <c r="C45" s="295">
        <f t="shared" ref="C45:F47" si="13">C$43*C49</f>
        <v>51377.920000000006</v>
      </c>
      <c r="D45" s="295">
        <f t="shared" si="13"/>
        <v>76487.805000000008</v>
      </c>
      <c r="E45" s="295">
        <f t="shared" si="13"/>
        <v>105082.758</v>
      </c>
      <c r="F45" s="295">
        <f t="shared" si="13"/>
        <v>106294.41200000001</v>
      </c>
      <c r="G45" s="295"/>
      <c r="H45" s="295"/>
      <c r="I45" s="295"/>
    </row>
    <row r="46" spans="2:9" ht="15.75" customHeight="1">
      <c r="B46" s="87" t="s">
        <v>357</v>
      </c>
      <c r="C46" s="295">
        <f t="shared" si="13"/>
        <v>15664</v>
      </c>
      <c r="D46" s="295">
        <f t="shared" si="13"/>
        <v>7724.5109999999995</v>
      </c>
      <c r="E46" s="295">
        <f t="shared" si="13"/>
        <v>9129.1859999999997</v>
      </c>
      <c r="F46" s="295">
        <f t="shared" si="13"/>
        <v>7838.2570000000005</v>
      </c>
      <c r="G46" s="295"/>
      <c r="H46" s="295"/>
      <c r="I46" s="295"/>
    </row>
    <row r="47" spans="2:9" ht="15.75" customHeight="1">
      <c r="B47" s="87" t="s">
        <v>358</v>
      </c>
      <c r="C47" s="295">
        <f t="shared" si="13"/>
        <v>58270.080000000002</v>
      </c>
      <c r="D47" s="295">
        <f t="shared" si="13"/>
        <v>29686.356</v>
      </c>
      <c r="E47" s="295">
        <f t="shared" si="13"/>
        <v>35351.315999999999</v>
      </c>
      <c r="F47" s="295">
        <f t="shared" si="13"/>
        <v>24661.833000000002</v>
      </c>
      <c r="G47" s="295"/>
      <c r="H47" s="295"/>
      <c r="I47" s="295"/>
    </row>
    <row r="48" spans="2:9" ht="15.75" customHeight="1">
      <c r="B48" s="286" t="s">
        <v>368</v>
      </c>
      <c r="C48" s="300">
        <v>0.2</v>
      </c>
      <c r="D48" s="300">
        <v>0.248</v>
      </c>
      <c r="E48" s="300">
        <v>0.23</v>
      </c>
      <c r="F48" s="300">
        <v>0.27400000000000002</v>
      </c>
      <c r="G48" s="300"/>
      <c r="H48" s="300"/>
      <c r="I48" s="300"/>
    </row>
    <row r="49" spans="2:9" ht="15.75" customHeight="1">
      <c r="B49" s="286" t="s">
        <v>369</v>
      </c>
      <c r="C49" s="300">
        <v>0.32800000000000001</v>
      </c>
      <c r="D49" s="300">
        <v>0.505</v>
      </c>
      <c r="E49" s="300">
        <v>0.54100000000000004</v>
      </c>
      <c r="F49" s="300">
        <v>0.55600000000000005</v>
      </c>
      <c r="G49" s="300"/>
      <c r="H49" s="300"/>
      <c r="I49" s="300"/>
    </row>
    <row r="50" spans="2:9" ht="15.75" customHeight="1">
      <c r="B50" s="286" t="s">
        <v>357</v>
      </c>
      <c r="C50" s="300">
        <v>0.1</v>
      </c>
      <c r="D50" s="300">
        <v>5.0999999999999997E-2</v>
      </c>
      <c r="E50" s="300">
        <v>4.7E-2</v>
      </c>
      <c r="F50" s="300">
        <v>4.1000000000000002E-2</v>
      </c>
      <c r="G50" s="300"/>
      <c r="H50" s="300"/>
      <c r="I50" s="300"/>
    </row>
    <row r="51" spans="2:9" ht="15.75" customHeight="1">
      <c r="B51" s="286" t="s">
        <v>358</v>
      </c>
      <c r="C51" s="300">
        <v>0.372</v>
      </c>
      <c r="D51" s="300">
        <v>0.19600000000000001</v>
      </c>
      <c r="E51" s="300">
        <v>0.182</v>
      </c>
      <c r="F51" s="300">
        <v>0.129</v>
      </c>
      <c r="G51" s="300"/>
      <c r="H51" s="300"/>
      <c r="I51" s="300"/>
    </row>
    <row r="52" spans="2:9" ht="15.75" customHeight="1">
      <c r="B52" s="286"/>
      <c r="C52" s="300"/>
      <c r="D52" s="300"/>
      <c r="E52" s="300"/>
      <c r="F52" s="300"/>
      <c r="G52" s="300"/>
      <c r="H52" s="300"/>
      <c r="I52" s="300"/>
    </row>
    <row r="53" spans="2:9" ht="15.75" customHeight="1">
      <c r="B53" s="87" t="s">
        <v>367</v>
      </c>
      <c r="C53" s="299">
        <f>C32*1000/(C43*10000)</f>
        <v>1.02158835546476</v>
      </c>
      <c r="D53" s="299">
        <f>D32*1000/(D43*10000)</f>
        <v>1.6921247053696991</v>
      </c>
      <c r="E53" s="299">
        <f>E32*1000/(E43*10000)</f>
        <v>2.6090945129171428</v>
      </c>
      <c r="F53" s="299">
        <f>F32*1000/(F43*10000)</f>
        <v>3.920328282167834</v>
      </c>
      <c r="G53" s="294"/>
      <c r="H53" s="294"/>
      <c r="I53" s="294"/>
    </row>
    <row r="54" spans="2:9" ht="15.75" customHeight="1">
      <c r="B54" s="286" t="s">
        <v>368</v>
      </c>
      <c r="C54" s="294">
        <f t="shared" ref="C54:F57" si="14">(C33*1000)/(C$43*C48*10000)</f>
        <v>0.9245374616956078</v>
      </c>
      <c r="D54" s="294">
        <f t="shared" si="14"/>
        <v>1.6034246200075779</v>
      </c>
      <c r="E54" s="294">
        <f t="shared" si="14"/>
        <v>2.246090058946062</v>
      </c>
      <c r="F54" s="294">
        <f t="shared" si="14"/>
        <v>2.9903233977119608</v>
      </c>
      <c r="G54" s="294"/>
      <c r="H54" s="294"/>
      <c r="I54" s="294"/>
    </row>
    <row r="55" spans="2:9" ht="15.75" customHeight="1">
      <c r="B55" s="286" t="s">
        <v>369</v>
      </c>
      <c r="C55" s="294">
        <f t="shared" si="14"/>
        <v>1.1025679202272101</v>
      </c>
      <c r="D55" s="294">
        <f t="shared" si="14"/>
        <v>1.7591395451863205</v>
      </c>
      <c r="E55" s="294">
        <f t="shared" si="14"/>
        <v>2.6380308661103089</v>
      </c>
      <c r="F55" s="294">
        <f t="shared" si="14"/>
        <v>4.0895510857146453</v>
      </c>
      <c r="G55" s="294"/>
      <c r="H55" s="294"/>
      <c r="I55" s="294"/>
    </row>
    <row r="56" spans="2:9" ht="15.75" customHeight="1">
      <c r="B56" s="286" t="s">
        <v>357</v>
      </c>
      <c r="C56" s="294">
        <f t="shared" si="14"/>
        <v>1.0930995403472932</v>
      </c>
      <c r="D56" s="294">
        <f t="shared" si="14"/>
        <v>1.9907349474937637</v>
      </c>
      <c r="E56" s="294">
        <f t="shared" si="14"/>
        <v>3.6083221987151974</v>
      </c>
      <c r="F56" s="294">
        <f t="shared" si="14"/>
        <v>6.4063901196401201</v>
      </c>
      <c r="G56" s="294"/>
      <c r="H56" s="294"/>
      <c r="I56" s="294"/>
    </row>
    <row r="57" spans="2:9" ht="15.75" customHeight="1">
      <c r="B57" s="286" t="s">
        <v>358</v>
      </c>
      <c r="C57" s="294">
        <f t="shared" si="14"/>
        <v>0.98314148187200012</v>
      </c>
      <c r="D57" s="294">
        <f t="shared" si="14"/>
        <v>1.5539920763599278</v>
      </c>
      <c r="E57" s="294">
        <f t="shared" si="14"/>
        <v>2.7237799860124023</v>
      </c>
      <c r="F57" s="294">
        <f t="shared" si="14"/>
        <v>4.3761804080013027</v>
      </c>
      <c r="G57" s="294"/>
      <c r="H57" s="294"/>
      <c r="I57" s="294"/>
    </row>
    <row r="58" spans="2:9" ht="15.75" customHeight="1">
      <c r="B58" s="87"/>
      <c r="C58" s="294"/>
      <c r="D58" s="294"/>
      <c r="E58" s="294"/>
      <c r="F58" s="294"/>
      <c r="G58" s="294"/>
      <c r="H58" s="294"/>
      <c r="I58" s="294"/>
    </row>
    <row r="59" spans="2:9" ht="15.75" customHeight="1">
      <c r="B59" s="87" t="s">
        <v>371</v>
      </c>
      <c r="C59" s="304">
        <v>3247483</v>
      </c>
      <c r="D59" s="304">
        <v>4204256</v>
      </c>
      <c r="E59" s="304">
        <v>4938642</v>
      </c>
      <c r="F59" s="304">
        <v>5294315</v>
      </c>
      <c r="G59" s="295"/>
      <c r="H59" s="295"/>
      <c r="I59" s="295"/>
    </row>
    <row r="60" spans="2:9" ht="15.75" customHeight="1">
      <c r="B60" s="286" t="s">
        <v>372</v>
      </c>
      <c r="C60" s="295"/>
      <c r="D60" s="295"/>
      <c r="E60" s="295">
        <v>3026710</v>
      </c>
      <c r="F60" s="295">
        <v>3309311</v>
      </c>
      <c r="G60" s="295"/>
      <c r="H60" s="295"/>
      <c r="I60" s="295"/>
    </row>
    <row r="61" spans="2:9" ht="15.75" customHeight="1">
      <c r="B61" s="286" t="s">
        <v>373</v>
      </c>
      <c r="C61" s="295"/>
      <c r="D61" s="295"/>
      <c r="E61" s="295">
        <v>1874556</v>
      </c>
      <c r="F61" s="295">
        <v>1942692</v>
      </c>
      <c r="G61" s="295"/>
      <c r="H61" s="295"/>
      <c r="I61" s="295"/>
    </row>
    <row r="62" spans="2:9" ht="15.75" customHeight="1">
      <c r="B62" s="286" t="s">
        <v>369</v>
      </c>
      <c r="C62" s="295"/>
      <c r="D62" s="295"/>
      <c r="E62" s="295">
        <v>37376</v>
      </c>
      <c r="F62" s="295">
        <v>42312</v>
      </c>
      <c r="G62" s="295"/>
      <c r="H62" s="295"/>
      <c r="I62" s="295"/>
    </row>
    <row r="63" spans="2:9" ht="15.75" customHeight="1">
      <c r="B63" s="286" t="s">
        <v>357</v>
      </c>
      <c r="C63" s="295"/>
      <c r="D63" s="295"/>
      <c r="E63" s="295"/>
      <c r="F63" s="295"/>
      <c r="G63" s="295"/>
      <c r="H63" s="295"/>
      <c r="I63" s="295"/>
    </row>
    <row r="64" spans="2:9" ht="15.75" customHeight="1">
      <c r="B64" s="87"/>
      <c r="C64" s="295"/>
      <c r="D64" s="295"/>
      <c r="E64" s="295"/>
      <c r="F64" s="295"/>
      <c r="G64" s="295"/>
      <c r="H64" s="295"/>
      <c r="I64" s="295"/>
    </row>
    <row r="65" spans="2:9" ht="15.75" customHeight="1">
      <c r="B65" s="137" t="str">
        <f>"b. "&amp;B8</f>
        <v>b. 其他</v>
      </c>
      <c r="C65" s="302">
        <f>C8</f>
        <v>335078</v>
      </c>
      <c r="D65" s="302">
        <f>D8</f>
        <v>341020</v>
      </c>
      <c r="E65" s="302">
        <f>E8</f>
        <v>459880</v>
      </c>
      <c r="F65" s="302">
        <f>F8</f>
        <v>396589</v>
      </c>
      <c r="G65" s="137"/>
      <c r="H65" s="137"/>
      <c r="I65" s="137"/>
    </row>
    <row r="66" spans="2:9" ht="15.75" customHeight="1">
      <c r="B66" s="87" t="s">
        <v>374</v>
      </c>
      <c r="C66" s="295">
        <f>C59-2354203</f>
        <v>893280</v>
      </c>
      <c r="D66" s="295">
        <f>D59-C59</f>
        <v>956773</v>
      </c>
      <c r="E66" s="295">
        <f>E59-D59</f>
        <v>734386</v>
      </c>
      <c r="F66" s="295">
        <f>F59-E59</f>
        <v>355673</v>
      </c>
      <c r="G66" s="295"/>
      <c r="H66" s="295"/>
      <c r="I66" s="295"/>
    </row>
    <row r="67" spans="2:9" ht="15.75" customHeight="1">
      <c r="B67" s="286" t="s">
        <v>360</v>
      </c>
      <c r="C67" s="303">
        <f>C65/C66</f>
        <v>0.37510970804227117</v>
      </c>
      <c r="D67" s="303">
        <f t="shared" ref="D67:F67" si="15">D65/D66</f>
        <v>0.35642728212439106</v>
      </c>
      <c r="E67" s="303">
        <f t="shared" si="15"/>
        <v>0.62621019463878669</v>
      </c>
      <c r="F67" s="303">
        <f t="shared" si="15"/>
        <v>1.1150382514275754</v>
      </c>
      <c r="G67" s="87"/>
      <c r="H67" s="87"/>
      <c r="I67" s="87"/>
    </row>
    <row r="68" spans="2:9" ht="15.75" customHeight="1">
      <c r="B68" s="286"/>
      <c r="C68" s="298"/>
      <c r="D68" s="298"/>
      <c r="E68" s="298"/>
      <c r="F68" s="298"/>
      <c r="G68" s="286"/>
      <c r="H68" s="286"/>
      <c r="I68" s="286"/>
    </row>
    <row r="69" spans="2:9" ht="15.75" customHeight="1">
      <c r="B69" s="301" t="e">
        <f>"c. "&amp;#REF!</f>
        <v>#REF!</v>
      </c>
      <c r="C69" s="302" t="e">
        <f>#REF!</f>
        <v>#REF!</v>
      </c>
      <c r="D69" s="302" t="e">
        <f>#REF!</f>
        <v>#REF!</v>
      </c>
      <c r="E69" s="302" t="e">
        <f>#REF!</f>
        <v>#REF!</v>
      </c>
      <c r="F69" s="302" t="e">
        <f>#REF!</f>
        <v>#REF!</v>
      </c>
      <c r="G69" s="302"/>
      <c r="H69" s="302"/>
      <c r="I69" s="302"/>
    </row>
    <row r="70" spans="2:9" ht="15.75" customHeight="1">
      <c r="B70" s="286" t="s">
        <v>364</v>
      </c>
      <c r="C70" s="300" t="e">
        <f>C69/C9</f>
        <v>#REF!</v>
      </c>
      <c r="D70" s="300" t="e">
        <f>D69/D9</f>
        <v>#REF!</v>
      </c>
      <c r="E70" s="300" t="e">
        <f>E69/E9</f>
        <v>#REF!</v>
      </c>
      <c r="F70" s="300" t="e">
        <f>F69/F9</f>
        <v>#REF!</v>
      </c>
      <c r="G70" s="300"/>
      <c r="H70" s="300"/>
      <c r="I70" s="300"/>
    </row>
    <row r="71" spans="2:9" ht="15.75" customHeight="1"/>
    <row r="72" spans="2:9" ht="15.75" customHeight="1">
      <c r="B72" s="117" t="s">
        <v>365</v>
      </c>
    </row>
    <row r="73" spans="2:9" ht="15.75" customHeight="1"/>
    <row r="74" spans="2:9" ht="15.75" customHeight="1">
      <c r="B74" s="137" t="s">
        <v>43</v>
      </c>
      <c r="C74" s="302">
        <f>C11</f>
        <v>3214958</v>
      </c>
      <c r="D74" s="302">
        <f>D11</f>
        <v>4204600</v>
      </c>
      <c r="E74" s="302">
        <f>E11</f>
        <v>7340712</v>
      </c>
      <c r="F74" s="302">
        <f>F11</f>
        <v>10136404</v>
      </c>
      <c r="G74" s="301"/>
      <c r="H74" s="301"/>
      <c r="I74" s="301"/>
    </row>
    <row r="75" spans="2:9" ht="15.75" customHeight="1">
      <c r="B75" s="286" t="s">
        <v>359</v>
      </c>
      <c r="C75" s="297"/>
      <c r="D75" s="297"/>
      <c r="E75" s="297">
        <v>4668463</v>
      </c>
      <c r="F75" s="297">
        <v>5278145</v>
      </c>
      <c r="G75" s="297"/>
      <c r="H75" s="297"/>
      <c r="I75" s="297"/>
    </row>
    <row r="76" spans="2:9" ht="15.75" customHeight="1">
      <c r="B76" s="286" t="s">
        <v>355</v>
      </c>
      <c r="C76" s="297">
        <f t="shared" ref="C76:E76" si="16">C74-C75</f>
        <v>3214958</v>
      </c>
      <c r="D76" s="297">
        <f t="shared" si="16"/>
        <v>4204600</v>
      </c>
      <c r="E76" s="297">
        <f t="shared" si="16"/>
        <v>2672249</v>
      </c>
      <c r="F76" s="297">
        <f>F74-F75</f>
        <v>4858259</v>
      </c>
      <c r="G76" s="297"/>
      <c r="H76" s="297"/>
      <c r="I76" s="297"/>
    </row>
    <row r="77" spans="2:9" ht="15.75" customHeight="1">
      <c r="B77" s="286"/>
      <c r="C77" s="286"/>
      <c r="D77" s="286"/>
      <c r="E77" s="286"/>
      <c r="F77" s="286"/>
      <c r="G77" s="286"/>
      <c r="H77" s="286"/>
      <c r="I77" s="286"/>
    </row>
    <row r="78" spans="2:9" ht="15.75" customHeight="1">
      <c r="B78" s="87" t="s">
        <v>361</v>
      </c>
      <c r="C78" s="87"/>
      <c r="D78" s="87"/>
      <c r="E78" s="87"/>
      <c r="F78" s="87"/>
      <c r="G78" s="87"/>
      <c r="H78" s="87"/>
      <c r="I78" s="87"/>
    </row>
    <row r="79" spans="2:9" ht="15.75" customHeight="1">
      <c r="B79" s="87"/>
      <c r="C79" s="87"/>
      <c r="D79" s="87"/>
      <c r="E79" s="87"/>
      <c r="F79" s="87"/>
      <c r="G79" s="87"/>
      <c r="H79" s="87"/>
      <c r="I79" s="87"/>
    </row>
    <row r="80" spans="2:9" ht="15.75" customHeight="1">
      <c r="B80" s="137" t="s">
        <v>363</v>
      </c>
      <c r="C80" s="137"/>
      <c r="D80" s="137"/>
      <c r="E80" s="137"/>
      <c r="F80" s="137"/>
      <c r="G80" s="137"/>
      <c r="H80" s="137"/>
      <c r="I80" s="137"/>
    </row>
    <row r="81" spans="2:6" ht="15.75" customHeight="1"/>
    <row r="82" spans="2:6" ht="15.75" customHeight="1">
      <c r="B82" s="117" t="s">
        <v>375</v>
      </c>
    </row>
    <row r="83" spans="2:6" ht="15.75" customHeight="1"/>
    <row r="84" spans="2:6" ht="15.75" customHeight="1">
      <c r="B84" s="3" t="s">
        <v>376</v>
      </c>
    </row>
    <row r="85" spans="2:6" ht="15.75" customHeight="1"/>
    <row r="86" spans="2:6" ht="15.75" customHeight="1">
      <c r="B86" s="3" t="s">
        <v>377</v>
      </c>
    </row>
    <row r="87" spans="2:6" ht="15.75" customHeight="1"/>
    <row r="88" spans="2:6" ht="15.75" customHeight="1"/>
    <row r="89" spans="2:6" ht="15.75" customHeight="1">
      <c r="B89" s="137" t="s">
        <v>344</v>
      </c>
      <c r="C89" s="302"/>
      <c r="D89" s="302"/>
      <c r="E89" s="302"/>
      <c r="F89" s="302">
        <v>514000</v>
      </c>
    </row>
    <row r="90" spans="2:6" ht="15.75" customHeight="1">
      <c r="C90" s="302"/>
      <c r="D90" s="302"/>
      <c r="E90" s="302"/>
      <c r="F90" s="296">
        <v>117000</v>
      </c>
    </row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1">
    <mergeCell ref="G25:I25"/>
  </mergeCells>
  <phoneticPr fontId="31" type="noConversion"/>
  <conditionalFormatting sqref="G19:G21">
    <cfRule type="containsBlanks" dxfId="8" priority="18">
      <formula>LEN(TRIM(G19))=0</formula>
    </cfRule>
  </conditionalFormatting>
  <conditionalFormatting sqref="G25">
    <cfRule type="containsBlanks" dxfId="7" priority="7">
      <formula>LEN(TRIM(G25))=0</formula>
    </cfRule>
  </conditionalFormatting>
  <conditionalFormatting sqref="H11:H14 H16:H18">
    <cfRule type="containsBlanks" priority="27">
      <formula>LEN(TRIM(H11))=0</formula>
    </cfRule>
  </conditionalFormatting>
  <conditionalFormatting sqref="H11:H24">
    <cfRule type="containsBlanks" dxfId="6" priority="26">
      <formula>LEN(TRIM(H11))=0</formula>
    </cfRule>
  </conditionalFormatting>
  <conditionalFormatting sqref="H21:I21">
    <cfRule type="containsBlanks" dxfId="5" priority="20">
      <formula>LEN(TRIM(H21))=0</formula>
    </cfRule>
  </conditionalFormatting>
  <conditionalFormatting sqref="H22:I24 H26:I26">
    <cfRule type="containsBlanks" dxfId="4" priority="8">
      <formula>LEN(TRIM(H22))=0</formula>
    </cfRule>
    <cfRule type="containsBlanks" priority="9">
      <formula>LEN(TRIM(H22))=0</formula>
    </cfRule>
  </conditionalFormatting>
  <conditionalFormatting sqref="I10:I18">
    <cfRule type="containsBlanks" priority="23">
      <formula>LEN(TRIM(I10))=0</formula>
    </cfRule>
  </conditionalFormatting>
  <conditionalFormatting sqref="I10:I24">
    <cfRule type="containsBlanks" dxfId="3" priority="22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J26" sqref="J26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306">
        <f t="shared" ref="C18:G18" si="0">D18-1</f>
        <v>2012</v>
      </c>
      <c r="D18" s="306">
        <f t="shared" si="0"/>
        <v>2013</v>
      </c>
      <c r="E18" s="306">
        <f t="shared" si="0"/>
        <v>2014</v>
      </c>
      <c r="F18" s="306">
        <f t="shared" si="0"/>
        <v>2015</v>
      </c>
      <c r="G18" s="306">
        <f t="shared" si="0"/>
        <v>2016</v>
      </c>
      <c r="H18" s="306">
        <f t="shared" ref="H18:K18" si="1">I18-1</f>
        <v>2017</v>
      </c>
      <c r="I18" s="306">
        <f t="shared" si="1"/>
        <v>2018</v>
      </c>
      <c r="J18" s="306">
        <f t="shared" si="1"/>
        <v>2019</v>
      </c>
      <c r="K18" s="306">
        <f t="shared" si="1"/>
        <v>2020</v>
      </c>
      <c r="L18" s="306">
        <f>M18-1</f>
        <v>2021</v>
      </c>
      <c r="M18" s="306">
        <v>2022</v>
      </c>
      <c r="N18" s="305"/>
      <c r="O18" s="305"/>
      <c r="P18" s="305"/>
      <c r="Q18" s="305"/>
      <c r="R18" s="305"/>
      <c r="S18" s="305"/>
    </row>
    <row r="19" spans="2:19" ht="13.9">
      <c r="B19" s="3" t="s">
        <v>436</v>
      </c>
      <c r="C19" s="329"/>
      <c r="D19" s="329"/>
      <c r="E19" s="329"/>
      <c r="F19" s="329"/>
      <c r="G19" s="329"/>
      <c r="H19" s="329"/>
      <c r="I19" s="329"/>
      <c r="J19" s="329">
        <v>1600216</v>
      </c>
      <c r="K19" s="329">
        <v>2562909</v>
      </c>
      <c r="L19" s="329">
        <v>5067853</v>
      </c>
      <c r="M19" s="329">
        <v>7494766</v>
      </c>
    </row>
    <row r="20" spans="2:19" ht="13.9">
      <c r="B20" s="3" t="s">
        <v>437</v>
      </c>
      <c r="C20" s="329"/>
      <c r="D20" s="329"/>
      <c r="E20" s="329"/>
      <c r="F20" s="329"/>
      <c r="G20" s="329"/>
      <c r="H20" s="329"/>
      <c r="I20" s="329"/>
      <c r="J20" s="329">
        <v>1306273</v>
      </c>
      <c r="K20" s="329">
        <v>1152691</v>
      </c>
      <c r="L20" s="329">
        <v>1440522</v>
      </c>
      <c r="M20" s="329">
        <v>1607278</v>
      </c>
    </row>
    <row r="21" spans="2:19" ht="13.9">
      <c r="B21" s="3" t="s">
        <v>438</v>
      </c>
      <c r="C21" s="329"/>
      <c r="D21" s="329"/>
      <c r="E21" s="329"/>
      <c r="F21" s="329"/>
      <c r="G21" s="329"/>
      <c r="H21" s="329"/>
      <c r="I21" s="329"/>
      <c r="J21" s="329">
        <v>204561</v>
      </c>
      <c r="K21" s="329">
        <v>207215</v>
      </c>
      <c r="L21" s="329">
        <v>435503</v>
      </c>
      <c r="M21" s="329">
        <v>680320</v>
      </c>
    </row>
    <row r="22" spans="2:19" ht="13.9">
      <c r="B22" s="3" t="s">
        <v>439</v>
      </c>
      <c r="C22" s="329"/>
      <c r="D22" s="329"/>
      <c r="E22" s="329"/>
      <c r="F22" s="329"/>
      <c r="G22" s="329"/>
      <c r="H22" s="329"/>
      <c r="I22" s="329"/>
      <c r="J22" s="329">
        <v>127850</v>
      </c>
      <c r="K22" s="329">
        <v>263079</v>
      </c>
      <c r="L22" s="329">
        <v>334185</v>
      </c>
      <c r="M22" s="329">
        <v>543408</v>
      </c>
    </row>
    <row r="23" spans="2:19" ht="13.9">
      <c r="B23" s="3" t="s">
        <v>355</v>
      </c>
      <c r="C23" s="329"/>
      <c r="D23" s="329"/>
      <c r="E23" s="329"/>
      <c r="F23" s="329"/>
      <c r="G23" s="329"/>
      <c r="H23" s="329"/>
      <c r="I23" s="329"/>
      <c r="J23" s="329">
        <v>335078</v>
      </c>
      <c r="K23" s="329">
        <v>341020</v>
      </c>
      <c r="L23" s="329">
        <v>459880</v>
      </c>
      <c r="M23" s="329">
        <v>396589</v>
      </c>
    </row>
    <row r="24" spans="2:19">
      <c r="B24" s="307"/>
      <c r="C24" s="309"/>
      <c r="D24" s="309"/>
      <c r="E24" s="309"/>
      <c r="F24" s="309"/>
      <c r="G24" s="309"/>
      <c r="H24" s="310"/>
      <c r="I24" s="310"/>
      <c r="J24" s="310"/>
      <c r="K24" s="310"/>
      <c r="L24" s="310"/>
      <c r="M24" s="310"/>
    </row>
    <row r="25" spans="2:19">
      <c r="B25" s="307"/>
      <c r="C25" s="308"/>
      <c r="D25" s="311"/>
      <c r="E25" s="311"/>
      <c r="F25" s="311"/>
      <c r="G25" s="311"/>
      <c r="H25" s="311"/>
      <c r="I25" s="311"/>
      <c r="J25" s="311"/>
      <c r="K25" s="311"/>
      <c r="L25" s="311"/>
      <c r="M25" s="311"/>
    </row>
    <row r="26" spans="2:19">
      <c r="C26" s="308"/>
      <c r="D26" s="308"/>
      <c r="E26" s="308"/>
      <c r="F26" s="308"/>
      <c r="G26" s="308"/>
      <c r="H26" s="308"/>
      <c r="I26" s="308"/>
      <c r="J26" s="308"/>
      <c r="K26" s="308"/>
      <c r="L26" s="308"/>
      <c r="M26" s="308"/>
    </row>
    <row r="46" spans="2:13" ht="13.15">
      <c r="B46" s="312" t="s">
        <v>379</v>
      </c>
    </row>
    <row r="47" spans="2:13" ht="15">
      <c r="C47" s="306">
        <f t="shared" ref="C47:M47" si="2">C18</f>
        <v>2012</v>
      </c>
      <c r="D47" s="306">
        <f t="shared" si="2"/>
        <v>2013</v>
      </c>
      <c r="E47" s="306">
        <f t="shared" si="2"/>
        <v>2014</v>
      </c>
      <c r="F47" s="306">
        <f t="shared" si="2"/>
        <v>2015</v>
      </c>
      <c r="G47" s="306">
        <f t="shared" si="2"/>
        <v>2016</v>
      </c>
      <c r="H47" s="306">
        <f t="shared" si="2"/>
        <v>2017</v>
      </c>
      <c r="I47" s="306">
        <f t="shared" si="2"/>
        <v>2018</v>
      </c>
      <c r="J47" s="306">
        <f t="shared" si="2"/>
        <v>2019</v>
      </c>
      <c r="K47" s="306">
        <f t="shared" si="2"/>
        <v>2020</v>
      </c>
      <c r="L47" s="306">
        <f t="shared" si="2"/>
        <v>2021</v>
      </c>
      <c r="M47" s="306">
        <f t="shared" si="2"/>
        <v>2022</v>
      </c>
    </row>
    <row r="48" spans="2:13">
      <c r="B48" s="307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</row>
    <row r="49" spans="2:13">
      <c r="B49" s="307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</row>
    <row r="50" spans="2:13">
      <c r="B50" s="307"/>
      <c r="C50" s="311"/>
      <c r="D50" s="311"/>
      <c r="E50" s="311"/>
      <c r="F50" s="311"/>
      <c r="G50" s="311"/>
      <c r="H50" s="311"/>
      <c r="I50" s="311"/>
      <c r="J50" s="311"/>
      <c r="K50" s="311"/>
      <c r="L50" s="311"/>
      <c r="M50" s="311"/>
    </row>
    <row r="71" spans="2:13" ht="13.15">
      <c r="B71" s="312" t="s">
        <v>389</v>
      </c>
    </row>
    <row r="72" spans="2:13" ht="15">
      <c r="B72" s="307"/>
      <c r="C72" s="306">
        <f>C47</f>
        <v>2012</v>
      </c>
      <c r="D72" s="306">
        <f t="shared" ref="D72:M72" si="3">D47</f>
        <v>2013</v>
      </c>
      <c r="E72" s="306">
        <f t="shared" si="3"/>
        <v>2014</v>
      </c>
      <c r="F72" s="306">
        <f t="shared" si="3"/>
        <v>2015</v>
      </c>
      <c r="G72" s="306">
        <f t="shared" si="3"/>
        <v>2016</v>
      </c>
      <c r="H72" s="306">
        <f t="shared" si="3"/>
        <v>2017</v>
      </c>
      <c r="I72" s="306">
        <f t="shared" si="3"/>
        <v>2018</v>
      </c>
      <c r="J72" s="306">
        <f t="shared" si="3"/>
        <v>2019</v>
      </c>
      <c r="K72" s="306">
        <f t="shared" si="3"/>
        <v>2020</v>
      </c>
      <c r="L72" s="306">
        <f t="shared" si="3"/>
        <v>2021</v>
      </c>
      <c r="M72" s="306">
        <f t="shared" si="3"/>
        <v>2022</v>
      </c>
    </row>
    <row r="73" spans="2:13">
      <c r="B73" s="307" t="s">
        <v>380</v>
      </c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</row>
    <row r="74" spans="2:13">
      <c r="B74" s="307" t="s">
        <v>381</v>
      </c>
      <c r="C74" s="308"/>
      <c r="D74" s="308"/>
      <c r="E74" s="308"/>
      <c r="F74" s="308"/>
      <c r="G74" s="308"/>
      <c r="H74" s="308"/>
      <c r="I74" s="308"/>
      <c r="J74" s="311"/>
      <c r="K74" s="311"/>
      <c r="L74" s="311"/>
      <c r="M74" s="311"/>
    </row>
    <row r="75" spans="2:13">
      <c r="B75" s="307" t="s">
        <v>382</v>
      </c>
      <c r="C75" s="308"/>
      <c r="D75" s="308"/>
      <c r="E75" s="308"/>
      <c r="F75" s="308"/>
      <c r="G75" s="308"/>
      <c r="H75" s="308"/>
      <c r="I75" s="308"/>
      <c r="J75" s="311"/>
      <c r="K75" s="311"/>
      <c r="L75" s="311"/>
      <c r="M75" s="311"/>
    </row>
    <row r="76" spans="2:13">
      <c r="B76" s="307" t="s">
        <v>383</v>
      </c>
      <c r="J76" s="311"/>
      <c r="K76" s="311"/>
      <c r="L76" s="311"/>
      <c r="M76" s="311"/>
    </row>
    <row r="78" spans="2:13" ht="13.15">
      <c r="B78" s="312" t="s">
        <v>388</v>
      </c>
    </row>
    <row r="79" spans="2:13" ht="15">
      <c r="C79" s="306">
        <f>C72</f>
        <v>2012</v>
      </c>
      <c r="D79" s="306">
        <f>D72</f>
        <v>2013</v>
      </c>
      <c r="E79" s="306">
        <f t="shared" ref="E79:M79" si="4">E72</f>
        <v>2014</v>
      </c>
      <c r="F79" s="306">
        <f t="shared" si="4"/>
        <v>2015</v>
      </c>
      <c r="G79" s="306">
        <f t="shared" si="4"/>
        <v>2016</v>
      </c>
      <c r="H79" s="306">
        <f t="shared" si="4"/>
        <v>2017</v>
      </c>
      <c r="I79" s="306">
        <f t="shared" si="4"/>
        <v>2018</v>
      </c>
      <c r="J79" s="306">
        <f t="shared" si="4"/>
        <v>2019</v>
      </c>
      <c r="K79" s="306">
        <f t="shared" si="4"/>
        <v>2020</v>
      </c>
      <c r="L79" s="306">
        <f t="shared" si="4"/>
        <v>2021</v>
      </c>
      <c r="M79" s="306">
        <f t="shared" si="4"/>
        <v>2022</v>
      </c>
    </row>
    <row r="80" spans="2:13">
      <c r="B80" s="307" t="s">
        <v>386</v>
      </c>
      <c r="J80" s="310"/>
      <c r="K80" s="310"/>
      <c r="L80" s="310"/>
      <c r="M80" s="310"/>
    </row>
    <row r="81" spans="2:13">
      <c r="B81" s="307" t="s">
        <v>387</v>
      </c>
      <c r="J81" s="310"/>
      <c r="K81" s="310"/>
      <c r="L81" s="310"/>
      <c r="M81" s="310"/>
    </row>
    <row r="82" spans="2:13">
      <c r="B82" s="307" t="s">
        <v>385</v>
      </c>
      <c r="J82" s="311"/>
      <c r="K82" s="311"/>
      <c r="L82" s="311"/>
      <c r="M82" s="311"/>
    </row>
    <row r="103" spans="2:13" ht="15">
      <c r="C103" s="306">
        <v>2012</v>
      </c>
      <c r="D103" s="306">
        <v>2013</v>
      </c>
      <c r="E103" s="306">
        <v>2014</v>
      </c>
      <c r="F103" s="306">
        <v>2015</v>
      </c>
      <c r="G103" s="306">
        <v>2016</v>
      </c>
      <c r="H103" s="306">
        <v>2017</v>
      </c>
      <c r="I103" s="306">
        <v>2018</v>
      </c>
      <c r="J103" s="306">
        <v>2019</v>
      </c>
      <c r="K103" s="306">
        <v>2020</v>
      </c>
      <c r="L103" s="306">
        <v>2021</v>
      </c>
      <c r="M103" s="306">
        <v>2022</v>
      </c>
    </row>
    <row r="104" spans="2:13">
      <c r="B104" t="s">
        <v>390</v>
      </c>
      <c r="J104" s="313">
        <f>Data!F19</f>
        <v>25020</v>
      </c>
      <c r="K104" s="313">
        <f>Data!E19</f>
        <v>68639</v>
      </c>
      <c r="L104" s="313">
        <f>Data!D19</f>
        <v>327798</v>
      </c>
      <c r="M104" s="313">
        <f>Data!C19</f>
        <v>582451</v>
      </c>
    </row>
    <row r="105" spans="2:13">
      <c r="B105" t="s">
        <v>391</v>
      </c>
      <c r="J105" s="313">
        <f>Data!F33</f>
        <v>69000</v>
      </c>
      <c r="K105" s="313">
        <f>Data!E33</f>
        <v>56000</v>
      </c>
      <c r="L105" s="313">
        <f>Data!D33</f>
        <v>247000</v>
      </c>
      <c r="M105" s="313">
        <f>Data!C33</f>
        <v>1176000</v>
      </c>
    </row>
    <row r="106" spans="2:13">
      <c r="B106" t="s">
        <v>392</v>
      </c>
      <c r="J106" s="313">
        <f>Data!F40</f>
        <v>7352</v>
      </c>
      <c r="K106" s="313">
        <f>Data!E40</f>
        <v>37000</v>
      </c>
      <c r="L106" s="313">
        <f>Data!D40</f>
        <v>36302</v>
      </c>
      <c r="M106" s="313">
        <f>Data!C40</f>
        <v>182000</v>
      </c>
    </row>
    <row r="107" spans="2:13">
      <c r="B107" t="s">
        <v>393</v>
      </c>
      <c r="L107" s="313">
        <f>Data!D41</f>
        <v>0</v>
      </c>
      <c r="M107" s="313">
        <f>Data!C41</f>
        <v>0</v>
      </c>
    </row>
    <row r="108" spans="2:13">
      <c r="B108" t="s">
        <v>395</v>
      </c>
      <c r="J108" s="313">
        <f>Data!F34</f>
        <v>0</v>
      </c>
      <c r="K108" s="313">
        <f>Data!E34</f>
        <v>0</v>
      </c>
      <c r="L108" s="313">
        <f>Data!D34</f>
        <v>0</v>
      </c>
      <c r="M108" s="313">
        <f>Data!C34</f>
        <v>230000</v>
      </c>
    </row>
    <row r="111" spans="2:13">
      <c r="B111" t="s">
        <v>397</v>
      </c>
      <c r="J111" s="313">
        <v>1315974</v>
      </c>
      <c r="K111" s="313">
        <v>2298560</v>
      </c>
      <c r="L111" s="313">
        <v>2061289</v>
      </c>
      <c r="M111" s="313">
        <v>2916855</v>
      </c>
    </row>
    <row r="112" spans="2:13">
      <c r="B112" t="s">
        <v>398</v>
      </c>
      <c r="J112" s="313">
        <v>3886094</v>
      </c>
      <c r="K112" s="313">
        <v>2774281</v>
      </c>
      <c r="L112" s="313">
        <v>4254707</v>
      </c>
      <c r="M112" s="313">
        <v>4294664</v>
      </c>
    </row>
    <row r="113" spans="2:15">
      <c r="B113" s="307" t="s">
        <v>399</v>
      </c>
      <c r="J113" s="314">
        <v>1.3370230781251284</v>
      </c>
      <c r="K113" s="314">
        <v>1.0795113892766026</v>
      </c>
      <c r="L113" s="314">
        <v>1.2103831624020565</v>
      </c>
      <c r="M113" s="314">
        <v>1.309293938120297</v>
      </c>
    </row>
    <row r="116" spans="2:15">
      <c r="G116" s="307" t="s">
        <v>400</v>
      </c>
      <c r="H116" s="308"/>
      <c r="I116" s="316" t="s">
        <v>401</v>
      </c>
      <c r="J116" s="316" t="s">
        <v>402</v>
      </c>
      <c r="K116" s="316" t="s">
        <v>403</v>
      </c>
      <c r="L116" s="316" t="s">
        <v>411</v>
      </c>
      <c r="M116" s="316" t="s">
        <v>406</v>
      </c>
    </row>
    <row r="117" spans="2:15">
      <c r="H117" s="308"/>
      <c r="I117" s="310">
        <f>(M104+L104)/2</f>
        <v>455124.5</v>
      </c>
      <c r="J117" s="308"/>
      <c r="K117" s="308">
        <v>10</v>
      </c>
      <c r="M117" s="308">
        <v>1.1000000000000001</v>
      </c>
      <c r="N117" s="315" t="s">
        <v>21</v>
      </c>
      <c r="O117" s="310">
        <f>I117*K117/M117</f>
        <v>4137495.4545454541</v>
      </c>
    </row>
    <row r="119" spans="2:15">
      <c r="G119" s="307" t="s">
        <v>404</v>
      </c>
      <c r="I119" s="316" t="s">
        <v>405</v>
      </c>
      <c r="J119" s="316" t="s">
        <v>402</v>
      </c>
      <c r="K119" s="316" t="s">
        <v>410</v>
      </c>
      <c r="L119" s="316" t="s">
        <v>408</v>
      </c>
      <c r="M119" s="316" t="s">
        <v>407</v>
      </c>
    </row>
    <row r="120" spans="2:15">
      <c r="I120" s="310">
        <f>Asset_Model!C35+Asset_Model!C31+Asset_Model!C36</f>
        <v>10891</v>
      </c>
      <c r="J120" s="316" t="s">
        <v>402</v>
      </c>
      <c r="K120" s="308">
        <v>0.8</v>
      </c>
      <c r="L120" s="315"/>
      <c r="M120" s="310">
        <f>Val_Models!C17</f>
        <v>-805276</v>
      </c>
      <c r="N120" s="307" t="s">
        <v>21</v>
      </c>
      <c r="O120" s="317">
        <f>I120*K120+M120</f>
        <v>-796563.2</v>
      </c>
    </row>
    <row r="122" spans="2:15">
      <c r="G122" s="307"/>
    </row>
    <row r="123" spans="2:15">
      <c r="K123" s="316" t="s">
        <v>409</v>
      </c>
      <c r="L123" s="315" t="s">
        <v>21</v>
      </c>
      <c r="M123" s="310">
        <f>O117+O120</f>
        <v>3340932.2545454539</v>
      </c>
    </row>
    <row r="125" spans="2:15">
      <c r="M125" s="318">
        <f>M123*Data!C4/Common_Shares</f>
        <v>4.2206137837099265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7" zoomScaleNormal="100" zoomScalePageLayoutView="80" workbookViewId="0">
      <selection activeCell="C17" sqref="C17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441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0.20511871706240814</v>
      </c>
      <c r="D6" s="171">
        <f>D7/D4</f>
        <v>2.9072407687282625E-2</v>
      </c>
      <c r="E6" s="171"/>
      <c r="F6" s="171"/>
      <c r="G6" s="171"/>
      <c r="H6" s="6"/>
      <c r="I6" s="45"/>
    </row>
    <row r="7" spans="1:10" ht="15" customHeight="1" thickBot="1">
      <c r="B7" s="146" t="s">
        <v>68</v>
      </c>
      <c r="C7" s="328">
        <f>Projections!F24</f>
        <v>2199356.9321999997</v>
      </c>
      <c r="D7" s="328">
        <f>Projections!G24</f>
        <v>316516.54482800013</v>
      </c>
      <c r="E7" s="248" t="str">
        <f>Projections!H24</f>
        <v/>
      </c>
      <c r="F7" s="248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-2093284.4321999997</v>
      </c>
      <c r="D8" s="210">
        <f>Projections!G21-D7</f>
        <v>-171313.30482799991</v>
      </c>
      <c r="E8" s="210" t="str">
        <f>IF(E4="","",Projections!H21-E7)</f>
        <v/>
      </c>
      <c r="F8" s="210" t="str">
        <f>IF(F4="","",Projections!I21-F7)</f>
        <v/>
      </c>
      <c r="G8" s="24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-2.6444550366887793</v>
      </c>
      <c r="D9" s="249">
        <f>D8/(Common_Shares/Data!$C$4)</f>
        <v>-0.21642081928067405</v>
      </c>
      <c r="E9" s="249" t="str">
        <f>IF(E8="","",E8/(Common_Shares/Data!$C$4))</f>
        <v/>
      </c>
      <c r="F9" s="249" t="str">
        <f>IF(F8="","",F8/(Common_Shares/Data!$C$4))</f>
        <v/>
      </c>
      <c r="G9" s="250">
        <f>IF(F4="",IF(E4="",D8,E8),F8)*Data!C$4/Common_Shares</f>
        <v>-0.21642081928067408</v>
      </c>
      <c r="H9" s="49"/>
      <c r="I9" s="35"/>
      <c r="J9" s="35"/>
    </row>
    <row r="10" spans="1:10" ht="15.75" customHeight="1">
      <c r="B10" s="14" t="s">
        <v>124</v>
      </c>
      <c r="C10" s="247"/>
      <c r="D10" s="149">
        <f ca="1">Dashboard!C12</f>
        <v>9.6000000000000002E-2</v>
      </c>
      <c r="E10" s="149" t="str">
        <f>IF(E4="","",D10)</f>
        <v/>
      </c>
      <c r="F10" s="149" t="str">
        <f>IF(F4="","",D10)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1">
        <f ca="1">IF(D4="","",1+D10)</f>
        <v>1.0960000000000001</v>
      </c>
      <c r="E11" s="251" t="str">
        <f>IF(E4="","",(1+D10)*(1+E10))</f>
        <v/>
      </c>
      <c r="F11" s="251" t="str">
        <f>IF(F4="","",(1+D10)*(1+E10)*(1+F10))</f>
        <v/>
      </c>
      <c r="G11" s="251">
        <f ca="1">IF(F4="",IF(E4="",D11,E11),F11)*(1+G10)</f>
        <v>1.2012160000000003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2"/>
      <c r="D12" s="253">
        <f ca="1">IF(D9="","",D9/D11)</f>
        <v>-0.19746425116849822</v>
      </c>
      <c r="E12" s="253" t="str">
        <f>IF(E9="","",E9/E11)</f>
        <v/>
      </c>
      <c r="F12" s="253" t="str">
        <f>IF(F9="","",F9/F11)</f>
        <v/>
      </c>
      <c r="G12" s="254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1508626.6712913087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5">
        <f>(G15+MIN(D4,0))*Data!C$4/Dashboard!I5*Exchange_Rate</f>
        <v>1.9058544257105325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51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-72704.828708691246</v>
      </c>
      <c r="D18" s="106">
        <f>C18/(Dashboard!I5/Data!C4)*Exchange_Rate</f>
        <v>-9.1848316221521439E-2</v>
      </c>
      <c r="E18" s="351"/>
      <c r="F18" s="89">
        <f>D15+(MIN(D4,0)*Data!C$4/Dashboard!I5)</f>
        <v>2.9812476032592521</v>
      </c>
      <c r="G18" s="88">
        <f>SUM(D16:D18)</f>
        <v>-1.0753931775487193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9" t="s">
        <v>195</v>
      </c>
      <c r="F20" s="399"/>
      <c r="G20" s="60"/>
    </row>
    <row r="21" spans="1:9" ht="15.75" customHeight="1">
      <c r="B21" s="81" t="str">
        <f>"TV after Year "&amp;G4</f>
        <v>TV after Year 1</v>
      </c>
      <c r="C21" s="266" t="s">
        <v>422</v>
      </c>
      <c r="D21" s="38" t="s">
        <v>326</v>
      </c>
      <c r="E21" s="267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8">
        <v>0.8</v>
      </c>
      <c r="D22" s="269">
        <f>C22*D4*Data!C4/Common_Shares</f>
        <v>11.003056589803064</v>
      </c>
      <c r="E22" s="239">
        <f>IF(D22="",IF(G9&lt;0,G9,G9*C22/G11),D22)</f>
        <v>11.003056589803064</v>
      </c>
      <c r="F22" s="239">
        <f ca="1">SUM(D12:F12)+E22+$G$16</f>
        <v>12.7114467643451</v>
      </c>
      <c r="G22" s="272">
        <f ca="1">F22*Exchange_Rate</f>
        <v>12.7114467643451</v>
      </c>
      <c r="I22" s="43"/>
    </row>
    <row r="23" spans="1:9" ht="15.75" customHeight="1">
      <c r="B23" s="132" t="s">
        <v>249</v>
      </c>
      <c r="C23" s="270">
        <v>1.36</v>
      </c>
      <c r="D23" s="271">
        <f>C23*D4*Data!C4/Common_Shares</f>
        <v>18.705196202665206</v>
      </c>
      <c r="E23" s="98">
        <f>IF(D23="",IF(G9&lt;0,G9,G9*C23/G11),D23)</f>
        <v>18.705196202665206</v>
      </c>
      <c r="F23" s="98">
        <f ca="1">SUM(D12:F12)+E23+$G$16</f>
        <v>20.413586377207242</v>
      </c>
      <c r="G23" s="273">
        <f ca="1">F23*Exchange_Rate</f>
        <v>20.413586377207242</v>
      </c>
      <c r="I23" s="43"/>
    </row>
    <row r="24" spans="1:9" ht="15.5" customHeight="1">
      <c r="C24" s="6"/>
      <c r="D24" s="6"/>
      <c r="E24" s="400" t="s">
        <v>335</v>
      </c>
      <c r="F24" s="401"/>
      <c r="G24" s="143">
        <f ca="1">MIN(G22,G23)+ABS(G22-G23)*Qualitative_Analysis!$E$64</f>
        <v>16.33970467483266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-2093284.4321999997</v>
      </c>
      <c r="D28" s="51">
        <f>D8</f>
        <v>-171313.30482799991</v>
      </c>
      <c r="E28" s="51" t="str">
        <f>E8</f>
        <v/>
      </c>
      <c r="F28" s="51" t="str">
        <f>F8</f>
        <v/>
      </c>
      <c r="G28" s="161">
        <f>D28*1.02</f>
        <v>-174739.5709245599</v>
      </c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>
        <v>0.04</v>
      </c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>
        <f>IF(F30&lt;&gt;"",F30,IF(E30&lt;&gt;"",E30,D30))*1.05</f>
        <v>930093.78000000014</v>
      </c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>
        <f>IF(F31&lt;&gt;"",F31,IF(E31&lt;&gt;"",E31,D31))</f>
        <v>0.25</v>
      </c>
      <c r="I31" s="43"/>
    </row>
    <row r="32" spans="1:9" ht="15.75" customHeight="1" thickBot="1">
      <c r="B32" s="142" t="s">
        <v>312</v>
      </c>
      <c r="C32" s="278">
        <f>C30*(C29*(1-Projections!F19))</f>
        <v>24158.28</v>
      </c>
      <c r="D32" s="278">
        <f>(D30*D29)*(1-D31)</f>
        <v>26574.108000000007</v>
      </c>
      <c r="E32" s="279" t="str">
        <f>IF(E28="","",(E30*E29)*(1-E31))</f>
        <v/>
      </c>
      <c r="F32" s="279" t="str">
        <f>IF(F28="","",(F30*F29)*(1-F31))</f>
        <v/>
      </c>
      <c r="G32" s="278">
        <f>(G30*G29)*(1-Projections!G19)</f>
        <v>27902.813400000006</v>
      </c>
      <c r="I32" s="43"/>
    </row>
    <row r="33" spans="1:9" ht="15.75" customHeight="1" thickTop="1">
      <c r="B33" s="141" t="s">
        <v>300</v>
      </c>
      <c r="C33" s="51">
        <f>C28-C32</f>
        <v>-2117442.7121999995</v>
      </c>
      <c r="D33" s="210">
        <f>D28-D32</f>
        <v>-197887.41282799991</v>
      </c>
      <c r="E33" s="210" t="str">
        <f>IF(E28="","",E28-E32)</f>
        <v/>
      </c>
      <c r="F33" s="210" t="str">
        <f>IF(F28="","",F28-F32)</f>
        <v/>
      </c>
      <c r="G33" s="274">
        <f>G28-G32</f>
        <v>-202642.38432455991</v>
      </c>
      <c r="I33" s="43" t="s">
        <v>304</v>
      </c>
    </row>
    <row r="34" spans="1:9" ht="15.75" customHeight="1">
      <c r="B34" s="120" t="s">
        <v>301</v>
      </c>
      <c r="C34" s="139">
        <f>C33/(Common_Shares/Data!$C$4)</f>
        <v>-2.6749742935279444</v>
      </c>
      <c r="D34" s="246">
        <f>D33/(Common_Shares/Data!$C$4)</f>
        <v>-0.24999200180375575</v>
      </c>
      <c r="E34" s="246" t="str">
        <f>IF(E33="","",E33/(Common_Shares/Data!$C$4))</f>
        <v/>
      </c>
      <c r="F34" s="246" t="str">
        <f>IF(F33="","",F33/(Common_Shares/Data!$C$4))</f>
        <v/>
      </c>
      <c r="G34" s="139">
        <f>G33/(Common_Shares/Data!$C$4)</f>
        <v>-0.25599897731552329</v>
      </c>
      <c r="H34" s="6"/>
      <c r="I34" s="43"/>
    </row>
    <row r="35" spans="1:9" ht="15.75" customHeight="1">
      <c r="B35" s="141" t="s">
        <v>306</v>
      </c>
      <c r="C35" s="275">
        <f>Dashboard!C31</f>
        <v>7.15</v>
      </c>
      <c r="D35" s="149">
        <f ca="1">D10</f>
        <v>9.6000000000000002E-2</v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80">
        <f ca="1">C35*D35</f>
        <v>0.68640000000000001</v>
      </c>
      <c r="E36" s="280" t="str">
        <f>IF(E35="","", $D$36)</f>
        <v/>
      </c>
      <c r="F36" s="280" t="str">
        <f>IF(F35="","", $D$36)</f>
        <v/>
      </c>
      <c r="G36" s="280">
        <f ca="1">D36</f>
        <v>0.68640000000000001</v>
      </c>
      <c r="H36" s="6"/>
      <c r="I36" s="43"/>
    </row>
    <row r="37" spans="1:9" ht="15.75" customHeight="1" thickTop="1">
      <c r="B37" s="5" t="s">
        <v>302</v>
      </c>
      <c r="C37" s="276">
        <f>Qualitative_Analysis!E64^2</f>
        <v>0.22190829081632654</v>
      </c>
      <c r="D37" s="246">
        <f ca="1">D34-D36</f>
        <v>-0.9363920018037557</v>
      </c>
      <c r="E37" s="246" t="str">
        <f>IF(E34="","",E34-E36)</f>
        <v/>
      </c>
      <c r="F37" s="246" t="str">
        <f>IF(F34="","",F34-F36)</f>
        <v/>
      </c>
      <c r="G37" s="277">
        <f ca="1">G34-G36</f>
        <v>-0.94239897731552325</v>
      </c>
      <c r="I37" s="43" t="s">
        <v>303</v>
      </c>
    </row>
    <row r="38" spans="1:9" ht="15.75" customHeight="1">
      <c r="B38" s="5" t="s">
        <v>125</v>
      </c>
      <c r="C38" s="144"/>
      <c r="D38" s="149">
        <f ca="1">D11</f>
        <v>1.0960000000000001</v>
      </c>
      <c r="E38" s="149" t="str">
        <f>E11</f>
        <v/>
      </c>
      <c r="F38" s="149" t="str">
        <f>F11</f>
        <v/>
      </c>
      <c r="G38" s="149">
        <f ca="1">IF(F30="",IF(E30="",D38,E38),F38)*(1+G35-C37)</f>
        <v>0.95800451326530622</v>
      </c>
      <c r="I38" s="43"/>
    </row>
    <row r="39" spans="1:9" ht="15.75" customHeight="1">
      <c r="B39" s="85" t="s">
        <v>311</v>
      </c>
      <c r="C39" s="145"/>
      <c r="D39" s="281">
        <f ca="1">D37/D38</f>
        <v>-0.85437226441948511</v>
      </c>
      <c r="E39" s="281" t="str">
        <f>IF(E37="","",E37/E38)</f>
        <v/>
      </c>
      <c r="F39" s="281" t="str">
        <f>IF(F37="","",F37/F38)</f>
        <v/>
      </c>
      <c r="G39" s="281">
        <f ca="1">G37/G38</f>
        <v>-0.98371037324595434</v>
      </c>
      <c r="I39" s="43"/>
    </row>
    <row r="40" spans="1:9" ht="15.75" customHeight="1">
      <c r="B40" s="20" t="s">
        <v>333</v>
      </c>
      <c r="C40" s="6"/>
      <c r="D40" s="6"/>
      <c r="E40" s="402" t="s">
        <v>321</v>
      </c>
      <c r="F40" s="380"/>
      <c r="G40" s="282">
        <f>Asset_Model!D7</f>
        <v>1.3279128360057053</v>
      </c>
    </row>
    <row r="41" spans="1:9" ht="15.75" customHeight="1">
      <c r="C41" s="6"/>
      <c r="D41" s="6"/>
      <c r="E41" s="400" t="s">
        <v>307</v>
      </c>
      <c r="F41" s="400"/>
      <c r="G41" s="283">
        <f ca="1">MAX((G40+SUM(D39:G39))*Exchange_Rate,0)</f>
        <v>0</v>
      </c>
    </row>
    <row r="42" spans="1:9" ht="15.75" customHeight="1"/>
    <row r="43" spans="1:9" ht="15.75" customHeight="1">
      <c r="A43" s="4"/>
      <c r="B43" s="255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2">
        <f ca="1">MIN(G24,G41)+ABS(G24-G41)*Qualitative_Analysis!$E$8</f>
        <v>8.6600434776613096</v>
      </c>
      <c r="D44" s="263" t="str">
        <f>Dashboard!J4</f>
        <v>HKD</v>
      </c>
      <c r="E44" s="264">
        <f ca="1">(C44-G16)/C9</f>
        <v>-2.5540948733270765</v>
      </c>
      <c r="F44" s="264">
        <f ca="1">C44/(Data!C29*Exchange_Rate*Data!C4/Common_Shares)</f>
        <v>1.6655616594959703</v>
      </c>
      <c r="G44" s="264">
        <f ca="1">C44/(Data!C7*Data!C4*Exchange_Rate/Common_Shares)</f>
        <v>0.63932502440355332</v>
      </c>
      <c r="I44" s="43"/>
    </row>
    <row r="45" spans="1:9" ht="15.75" customHeight="1">
      <c r="B45" s="6" t="s">
        <v>314</v>
      </c>
      <c r="C45" s="256">
        <f>C4*Data!C4*1/Common_Shares*Exchange_Rate</f>
        <v>13.545603796348407</v>
      </c>
      <c r="D45" s="257" t="str">
        <f>D44</f>
        <v>HKD</v>
      </c>
      <c r="E45" s="223">
        <f>(C45-G16)/C9</f>
        <v>-4.4015682661076507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8" t="s">
        <v>315</v>
      </c>
      <c r="C46" s="259">
        <f ca="1">MIN(C45,C44)+ABS(C45-C44)*Qualitative_Analysis!E64</f>
        <v>10.961491356357126</v>
      </c>
      <c r="D46" s="257" t="str">
        <f>D45</f>
        <v>HKD</v>
      </c>
      <c r="E46" s="223">
        <f ca="1">(C46-G16)/C9</f>
        <v>-3.4243868037119256</v>
      </c>
      <c r="F46" s="223">
        <f ca="1">C46/(Asset_Model!I3*Exchange_Rate*Data!C4/Common_Shares)</f>
        <v>2.1496961600165592</v>
      </c>
      <c r="G46" s="223">
        <f ca="1">C46/(Data!C7*Data!C4*Exchange_Rate/Common_Shares)</f>
        <v>0.80922870040773665</v>
      </c>
    </row>
    <row r="47" spans="1:9" ht="15.75" customHeight="1">
      <c r="B47" s="84" t="s">
        <v>280</v>
      </c>
      <c r="C47" s="260">
        <f ca="1">MAX(G41,C44)/(1+Dashboard!I14)</f>
        <v>6.928034782129048</v>
      </c>
      <c r="D47" s="261" t="str">
        <f>D45</f>
        <v>HKD</v>
      </c>
      <c r="E47" s="224">
        <f ca="1">(C47-G16)/C9</f>
        <v>-1.8991362253248876</v>
      </c>
      <c r="F47" s="224">
        <f ca="1">C47/(Asset_Model!I3*Exchange_Rate*Data!C4/Common_Shares)</f>
        <v>1.3586809753735443</v>
      </c>
      <c r="G47" s="224">
        <f ca="1">C47/(Data!C7*Data!C4*Exchange_Rate/Common_Shares)</f>
        <v>0.5114600195228427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22:G23">
    <cfRule type="cellIs" dxfId="2" priority="3" operator="equal">
      <formula>#REF!</formula>
    </cfRule>
  </conditionalFormatting>
  <conditionalFormatting sqref="E4:F12 E28:F39">
    <cfRule type="containsBlanks" dxfId="1" priority="17">
      <formula>LEN(TRIM(E4))=0</formula>
    </cfRule>
  </conditionalFormatting>
  <conditionalFormatting sqref="G28:G32">
    <cfRule type="containsBlanks" dxfId="0" priority="4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349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2023-08-27T16:07:58Z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