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F5E942DB-4CD2-4291-8FF5-791B9EBA58E0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H4" i="7" s="1"/>
  <c r="C40" i="2"/>
  <c r="I5" i="7"/>
  <c r="H5" i="7"/>
  <c r="F33" i="2"/>
  <c r="C33" i="2"/>
  <c r="F20" i="7"/>
  <c r="G5" i="7"/>
  <c r="I4" i="7" l="1"/>
  <c r="I6" i="7" s="1"/>
  <c r="I12" i="7" s="1"/>
  <c r="H6" i="7"/>
  <c r="G6" i="7"/>
  <c r="G12" i="7" s="1"/>
  <c r="H12" i="7" s="1"/>
  <c r="H7" i="7"/>
  <c r="G20" i="7"/>
  <c r="H20" i="7" s="1"/>
  <c r="I20" i="7" s="1"/>
  <c r="H11" i="7" l="1"/>
  <c r="G8" i="7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C45" i="4" s="1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G21" i="7" s="1"/>
  <c r="H21" i="7" s="1"/>
  <c r="I21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H9" i="7" s="1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F31" i="4"/>
  <c r="I18" i="7"/>
  <c r="E6" i="4" l="1"/>
  <c r="I24" i="7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<sst xmlns="http://schemas.openxmlformats.org/spreadsheetml/2006/main" count="477" uniqueCount="410">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</sst>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_ * #,##0.00_ ;_ * \-#,##0.00_ ;_ * &quot;-&quot;??_ ;_ @_ "/>
    <numFmt numFmtId="180" formatCode="yyyy\-mm\-dd"/>
    <numFmt numFmtId="181" formatCode="#,##0&quot;mm&quot;"/>
    <numFmt numFmtId="182" formatCode="#,##0.00&quot;x&quot;"/>
    <numFmt numFmtId="183" formatCode="0.00\x"/>
    <numFmt numFmtId="184" formatCode="&quot;Base Allocation &quot;0%"/>
    <numFmt numFmtId="185" formatCode="&quot;Increased Allocation &quot;0%"/>
    <numFmt numFmtId="186" formatCode="&quot;Last Allocation &quot;0%"/>
    <numFmt numFmtId="187" formatCode="[$$]#,##0&quot;m&quot;"/>
    <numFmt numFmtId="188" formatCode="&quot;Past &quot;0&quot; yrs Avg. NI&quot;"/>
    <numFmt numFmtId="189" formatCode="0.00&quot;x&quot;"/>
    <numFmt numFmtId="190" formatCode="&quot;Past &quot;0&quot; yrs Avg. NOPAT&quot;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#,##0.00;[Red]#,##0.00"/>
    <numFmt numFmtId="196" formatCode="&quot;in&quot;\ 0\ &quot;Months&quot;"/>
    <numFmt numFmtId="197" formatCode="&quot;Breakeven Price = &quot;0.00"/>
    <numFmt numFmtId="198" formatCode="&quot;Next Buy Price = &quot;0.00"/>
    <numFmt numFmtId="199" formatCode="0.0%"/>
    <numFmt numFmtId="200" formatCode="&quot;FCFF per share = &quot;#,##0.00"/>
    <numFmt numFmtId="201" formatCode="&quot;CI = &quot;0.00"/>
    <numFmt numFmtId="202" formatCode="&quot;ω = &quot;0.00"/>
    <numFmt numFmtId="203" formatCode="&quot;Total &quot;0.00%"/>
    <numFmt numFmtId="204" formatCode="#,##0_ ;[Red]\-#,##0\ "/>
  </numFmts>
  <fonts count="3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179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90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8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5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7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3" fontId="18" fillId="0" borderId="9" xfId="0" applyNumberFormat="1" applyFont="1" applyBorder="1" applyAlignment="1">
      <alignment horizontal="center"/>
    </xf>
    <xf numFmtId="198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9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2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3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3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3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3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1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1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6" fontId="2" fillId="8" borderId="11" xfId="0" applyNumberFormat="1" applyFont="1" applyFill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3" fontId="1" fillId="0" borderId="9" xfId="0" applyNumberFormat="1" applyFont="1" applyBorder="1" applyAlignment="1">
      <alignment horizontal="center"/>
    </xf>
    <xf numFmtId="183" fontId="1" fillId="0" borderId="11" xfId="0" applyNumberFormat="1" applyFont="1" applyBorder="1" applyAlignment="1">
      <alignment horizontal="center"/>
    </xf>
    <xf numFmtId="182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200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3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9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9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1" fontId="1" fillId="0" borderId="9" xfId="0" applyNumberFormat="1" applyFont="1" applyBorder="1" applyAlignment="1">
      <alignment horizontal="center"/>
    </xf>
    <xf numFmtId="202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5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4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87" fontId="1" fillId="0" borderId="9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87" fontId="1" fillId="0" borderId="11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80" fontId="2" fillId="9" borderId="9" xfId="0" applyNumberFormat="1" applyFont="1" applyFill="1" applyBorder="1" applyAlignment="1">
      <alignment horizontal="center"/>
    </xf>
    <xf numFmtId="193" fontId="2" fillId="9" borderId="12" xfId="0" applyNumberFormat="1" applyFont="1" applyFill="1" applyBorder="1" applyAlignment="1">
      <alignment horizontal="center"/>
    </xf>
    <xf numFmtId="193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81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77" fontId="4" fillId="9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84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203" fontId="1" fillId="14" borderId="9" xfId="0" applyNumberFormat="1" applyFont="1" applyFill="1" applyBorder="1" applyAlignment="1">
      <alignment horizontal="center"/>
    </xf>
    <xf numFmtId="186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 2" xfId="4" xr:uid="{7DBEB12B-1E3D-4807-A57F-D92C83A1AC60}"/>
    <cellStyle name="Hyperlink 2" xfId="5" xr:uid="{64C14093-5BAB-467A-B722-04374D01926C}"/>
    <cellStyle name="Normal 2" xfId="3" xr:uid="{6D385170-8EFF-4183-AA73-DBF4E0D058A7}"/>
    <cellStyle name="千位分隔" xfId="1" builtinId="3"/>
    <cellStyle name="常规" xfId="0" builtinId="0"/>
    <cellStyle name="超链接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C32" sqref="C32:D32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36" t="s">
        <v>398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4">
      <c r="B4" s="5" t="s">
        <v>4</v>
      </c>
      <c r="C4" s="338" t="s">
        <v>399</v>
      </c>
      <c r="D4" s="339"/>
      <c r="E4" s="6"/>
      <c r="G4" s="5" t="s">
        <v>5</v>
      </c>
      <c r="I4" s="221">
        <v>7.8</v>
      </c>
      <c r="J4" s="222" t="s">
        <v>6</v>
      </c>
      <c r="K4" s="92"/>
    </row>
    <row r="5" spans="1:12" ht="15.75" customHeight="1" x14ac:dyDescent="0.4">
      <c r="B5" s="5" t="s">
        <v>7</v>
      </c>
      <c r="C5" s="340">
        <v>44984</v>
      </c>
      <c r="D5" s="339"/>
      <c r="E5" s="79" t="str">
        <f ca="1">IF(C5+30&gt;=TODAY(),"Patience Premium","")</f>
        <v/>
      </c>
      <c r="G5" s="5" t="s">
        <v>8</v>
      </c>
      <c r="I5" s="349">
        <v>243354000</v>
      </c>
      <c r="J5" s="349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1898.1612</v>
      </c>
      <c r="J6" s="350"/>
      <c r="K6" s="91"/>
    </row>
    <row r="7" spans="1:12" ht="15.75" customHeight="1" x14ac:dyDescent="0.4">
      <c r="B7" s="86" t="s">
        <v>10</v>
      </c>
      <c r="C7" s="218">
        <f>(Data!C42*Exchange_Rate)/I4</f>
        <v>2.5641025641025644E-2</v>
      </c>
      <c r="D7" s="218">
        <f>(Data!C43*Exchange_Rate)/I4</f>
        <v>0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22.239993438704612</v>
      </c>
      <c r="J9" s="166">
        <f>IF(I9="NNI","NNI",1/I9)</f>
        <v>4.4964042042372379E-2</v>
      </c>
    </row>
    <row r="10" spans="1:12" ht="15.75" customHeight="1" x14ac:dyDescent="0.4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0.68124478477471839</v>
      </c>
      <c r="J10" s="223">
        <f>I4/(Data!C7*Data!C4/Common_Shares*Exchange_Rate)</f>
        <v>0.37081152379653748</v>
      </c>
    </row>
    <row r="11" spans="1:12" ht="15.75" customHeight="1" thickBot="1" x14ac:dyDescent="0.45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 x14ac:dyDescent="0.4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278</v>
      </c>
      <c r="D14" s="84"/>
      <c r="E14" s="167">
        <f ca="1">Val_Models!C44</f>
        <v>8.9260129791874565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4">
      <c r="B16" s="82">
        <f>I4</f>
        <v>7.8</v>
      </c>
      <c r="C16" s="373">
        <v>0.2</v>
      </c>
      <c r="D16" s="238">
        <f ca="1">I37/B16-(1+C16)</f>
        <v>8.4496448620127618E-2</v>
      </c>
      <c r="E16" s="354" t="s">
        <v>21</v>
      </c>
      <c r="F16" s="351">
        <f>(Val_Models!G16)*Exchange_Rate</f>
        <v>6.391827543414121</v>
      </c>
      <c r="G16" s="354" t="s">
        <v>22</v>
      </c>
      <c r="H16" s="239">
        <f>B16-$F$16</f>
        <v>1.4081724565858789</v>
      </c>
      <c r="I16" s="367">
        <v>0.2</v>
      </c>
      <c r="J16" s="166">
        <f>I16/B16</f>
        <v>2.5641025641025644E-2</v>
      </c>
    </row>
    <row r="17" spans="1:10" ht="15.75" customHeight="1" x14ac:dyDescent="0.4">
      <c r="B17" s="116">
        <f ca="1">MIN((I37+I38)/2,I37/(1+C16), IF(J20=0,E14,I37/(1+C16)))</f>
        <v>8.3492269160308297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1.9573993726167087</v>
      </c>
      <c r="I17" s="368"/>
      <c r="J17" s="149">
        <f ca="1">I16/B17</f>
        <v>2.395431361626937E-2</v>
      </c>
    </row>
    <row r="18" spans="1:10" ht="15.75" customHeight="1" x14ac:dyDescent="0.4">
      <c r="B18" s="129">
        <f>C37</f>
        <v>8.1999999999999993</v>
      </c>
      <c r="C18" s="375"/>
      <c r="D18" s="237">
        <f ca="1">I37/B18-(1+C16)</f>
        <v>2.1838085272804397E-2</v>
      </c>
      <c r="E18" s="356"/>
      <c r="F18" s="353"/>
      <c r="G18" s="356"/>
      <c r="H18" s="98">
        <f>B18-$F$16</f>
        <v>1.8081724565858783</v>
      </c>
      <c r="I18" s="369"/>
      <c r="J18" s="158">
        <f>I16/B18</f>
        <v>2.4390243902439029E-2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4">
      <c r="A21" s="6"/>
      <c r="B21" s="19" t="s">
        <v>24</v>
      </c>
      <c r="C21" s="343" t="s">
        <v>401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4">
      <c r="A22" s="6"/>
      <c r="B22" s="19" t="s">
        <v>25</v>
      </c>
      <c r="C22" s="358" t="s">
        <v>402</v>
      </c>
      <c r="D22" s="337"/>
      <c r="E22" s="337"/>
      <c r="F22" s="337"/>
      <c r="G22" s="358" t="s">
        <v>403</v>
      </c>
      <c r="H22" s="358"/>
      <c r="I22" s="337"/>
      <c r="J22" s="337"/>
    </row>
    <row r="23" spans="1:10" ht="52.5" customHeight="1" x14ac:dyDescent="0.4">
      <c r="A23" s="6"/>
      <c r="B23" s="138" t="s">
        <v>26</v>
      </c>
      <c r="C23" s="346" t="s">
        <v>404</v>
      </c>
      <c r="D23" s="347"/>
      <c r="E23" s="347"/>
      <c r="F23" s="347"/>
      <c r="G23" s="346" t="s">
        <v>405</v>
      </c>
      <c r="H23" s="346"/>
      <c r="I23" s="347"/>
      <c r="J23" s="347"/>
    </row>
    <row r="24" spans="1:10" ht="52.5" customHeight="1" x14ac:dyDescent="0.4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 x14ac:dyDescent="0.4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 x14ac:dyDescent="0.4">
      <c r="B29" s="18" t="s">
        <v>31</v>
      </c>
      <c r="C29" s="366">
        <f>C33/D27</f>
        <v>0.19878787878787879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0.19878787878787879</v>
      </c>
      <c r="J29" s="370"/>
    </row>
    <row r="30" spans="1:10" ht="15.75" customHeight="1" x14ac:dyDescent="0.4">
      <c r="B30" s="18" t="s">
        <v>32</v>
      </c>
      <c r="C30" s="349">
        <v>16000</v>
      </c>
      <c r="D30" s="339"/>
      <c r="E30" s="349"/>
      <c r="F30" s="339"/>
      <c r="G30" s="349"/>
      <c r="H30" s="349"/>
      <c r="I30" s="376">
        <f>C30+E30+G30</f>
        <v>16000</v>
      </c>
      <c r="J30" s="376"/>
    </row>
    <row r="31" spans="1:10" ht="15.75" customHeight="1" x14ac:dyDescent="0.4">
      <c r="B31" s="18" t="s">
        <v>33</v>
      </c>
      <c r="C31" s="363">
        <v>8.1999999999999993</v>
      </c>
      <c r="D31" s="339"/>
      <c r="E31" s="363"/>
      <c r="F31" s="339"/>
      <c r="G31" s="363"/>
      <c r="H31" s="363"/>
      <c r="I31" s="330"/>
      <c r="J31" s="330"/>
    </row>
    <row r="32" spans="1:10" ht="15.75" customHeight="1" x14ac:dyDescent="0.4">
      <c r="B32" s="18" t="s">
        <v>34</v>
      </c>
      <c r="C32" s="328">
        <f>C31*$I$5/1000000</f>
        <v>1995.5027999999998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4">
      <c r="B33" s="2" t="s">
        <v>35</v>
      </c>
      <c r="C33" s="329">
        <f>C30*C31</f>
        <v>131200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131200</v>
      </c>
      <c r="J33" s="329"/>
    </row>
    <row r="34" spans="2:11" ht="15.75" customHeight="1" x14ac:dyDescent="0.4">
      <c r="B34" s="1" t="s">
        <v>36</v>
      </c>
      <c r="C34" s="330"/>
      <c r="D34" s="333"/>
      <c r="E34" s="332">
        <f>IF(C33=0,"-",(C33+E33)/(C30+E30))</f>
        <v>8.1999999999999993</v>
      </c>
      <c r="F34" s="365"/>
      <c r="G34" s="78"/>
      <c r="H34" s="78"/>
      <c r="I34" s="332">
        <f>IF(I33=0,"",I33/I30)</f>
        <v>8.1999999999999993</v>
      </c>
      <c r="J34" s="332"/>
    </row>
    <row r="35" spans="2:11" ht="15.75" customHeight="1" x14ac:dyDescent="0.4">
      <c r="B35" s="1" t="s">
        <v>37</v>
      </c>
      <c r="C35" s="334"/>
      <c r="D35" s="335"/>
      <c r="E35" s="331">
        <f>IF(E34="-","-",E34*$I$5/1000000)</f>
        <v>1995.5027999999998</v>
      </c>
      <c r="F35" s="377"/>
      <c r="G35" s="230"/>
      <c r="H35" s="230"/>
      <c r="I35" s="331">
        <f>IF(I34="","",I34*$I$5/1000000)</f>
        <v>1995.5027999999998</v>
      </c>
      <c r="J35" s="331"/>
    </row>
    <row r="36" spans="2:11" ht="15.75" customHeight="1" x14ac:dyDescent="0.4"/>
    <row r="37" spans="2:11" ht="15.75" customHeight="1" x14ac:dyDescent="0.4">
      <c r="B37" s="87" t="s">
        <v>255</v>
      </c>
      <c r="C37" s="326">
        <f>C31</f>
        <v>8.1999999999999993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10.019072299236996</v>
      </c>
      <c r="J37" s="325"/>
    </row>
    <row r="38" spans="2:11" ht="15.75" customHeight="1" x14ac:dyDescent="0.4">
      <c r="B38" s="87" t="s">
        <v>280</v>
      </c>
      <c r="C38" s="326">
        <f>E34</f>
        <v>8.1999999999999993</v>
      </c>
      <c r="D38" s="327"/>
      <c r="E38" s="6"/>
      <c r="F38" s="6"/>
      <c r="G38" s="323" t="s">
        <v>279</v>
      </c>
      <c r="H38" s="323"/>
      <c r="I38" s="324">
        <f ca="1">Val_Models!C47</f>
        <v>7.1408103833499652</v>
      </c>
      <c r="J38" s="325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 x14ac:dyDescent="0.4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 x14ac:dyDescent="0.4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 x14ac:dyDescent="0.4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4">
      <c r="B47" s="3" t="s">
        <v>268</v>
      </c>
      <c r="C47" s="6"/>
      <c r="D47" s="6"/>
      <c r="E47" s="171">
        <f ca="1">I37/C31-1</f>
        <v>0.22183808527280435</v>
      </c>
      <c r="F47" s="171">
        <f ca="1">I37/C38-1</f>
        <v>0.22183808527280435</v>
      </c>
      <c r="G47" s="6"/>
      <c r="H47" s="6"/>
      <c r="I47" s="6"/>
      <c r="J47" s="233"/>
    </row>
    <row r="48" spans="2:11" ht="15.75" customHeight="1" x14ac:dyDescent="0.4">
      <c r="B48" s="3" t="s">
        <v>269</v>
      </c>
      <c r="C48" s="6"/>
      <c r="D48" s="6"/>
      <c r="E48" s="171">
        <f ca="1">Val_Models!C47/C31-1</f>
        <v>-0.12916946544512609</v>
      </c>
      <c r="F48" s="171">
        <f ca="1">Val_Models!C47/C38-1</f>
        <v>-0.12916946544512609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271</v>
      </c>
      <c r="C50" s="6"/>
      <c r="D50" s="6"/>
      <c r="E50" s="54">
        <f ca="1">IF(E47&lt;=0,0,AVERAGE(F41:F44,0.5*(1+E47+E48-C16)))</f>
        <v>0.71848245331205107</v>
      </c>
      <c r="F50" s="171">
        <f ca="1">IF(F47&lt;=0,0,AVERAGE(F41:F44,0.5*(1+F47+F48-C16)))</f>
        <v>0.71848245331205107</v>
      </c>
      <c r="G50" s="77"/>
      <c r="H50" s="6"/>
      <c r="I50" s="6"/>
      <c r="J50" s="6"/>
    </row>
    <row r="51" spans="2:10" ht="15.75" customHeight="1" x14ac:dyDescent="0.4">
      <c r="B51" s="3" t="s">
        <v>270</v>
      </c>
      <c r="C51" s="6"/>
      <c r="D51" s="66"/>
      <c r="E51" s="234">
        <f ca="1">IF(E48&gt;=0,100,E47/ABS(E48))</f>
        <v>1.7174189310789232</v>
      </c>
      <c r="F51" s="234">
        <f ca="1">IF(F48&gt;=0,100,F47/ABS(F48))</f>
        <v>1.7174189310789232</v>
      </c>
      <c r="G51" s="77"/>
      <c r="H51" s="6"/>
      <c r="I51" s="6"/>
      <c r="J51" s="6"/>
    </row>
    <row r="52" spans="2:10" ht="15.75" customHeight="1" x14ac:dyDescent="0.4">
      <c r="B52" s="3" t="s">
        <v>283</v>
      </c>
      <c r="C52" s="6"/>
      <c r="D52" s="6"/>
      <c r="E52" s="232">
        <f ca="1">MAX(C16*2.5/E47,1)+IF(E47&lt;C16,100,0)+IF(J20=1,2/(1+E47+E48-C16),0)</f>
        <v>2.2538961215119007</v>
      </c>
      <c r="F52" s="232">
        <f ca="1">MAX(C16*2.5/F47,1)+IF(F47&lt;C16,100,0)+IF(D18&lt;0,100,0)+IF(J20=1,2/(1+F47+F48-C16),0)</f>
        <v>2.2538961215119007</v>
      </c>
      <c r="G52" s="170"/>
      <c r="H52" s="235"/>
      <c r="I52" s="235"/>
      <c r="J52" s="6"/>
    </row>
    <row r="53" spans="2:10" ht="15.75" customHeight="1" x14ac:dyDescent="0.4">
      <c r="B53" s="3" t="s">
        <v>284</v>
      </c>
      <c r="C53" s="6"/>
      <c r="D53" s="6"/>
      <c r="E53" s="217">
        <f ca="1">MIN(MAX(E50-ABS((1-E50)/E51),0)/E52,H53)</f>
        <v>0.24604660145149354</v>
      </c>
      <c r="F53" s="217">
        <f ca="1">MIN(MAX(F50-ABS((1-F50)/F51),0)/F52,H53)</f>
        <v>0.24604660145149354</v>
      </c>
      <c r="G53" s="170" t="s">
        <v>273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275</v>
      </c>
    </row>
    <row r="56" spans="2:10" ht="15.75" customHeight="1" x14ac:dyDescent="0.4">
      <c r="B56" s="137" t="s">
        <v>276</v>
      </c>
    </row>
    <row r="57" spans="2:10" ht="15.75" customHeight="1" x14ac:dyDescent="0.4">
      <c r="B57" s="3" t="s">
        <v>287</v>
      </c>
    </row>
    <row r="58" spans="2:10" ht="15.75" customHeight="1" x14ac:dyDescent="0.4">
      <c r="B58" s="3" t="s">
        <v>286</v>
      </c>
    </row>
    <row r="59" spans="2:10" ht="15.75" customHeight="1" x14ac:dyDescent="0.4"/>
    <row r="60" spans="2:10" ht="15.75" customHeight="1" x14ac:dyDescent="0.4">
      <c r="B60" s="137" t="s">
        <v>277</v>
      </c>
    </row>
    <row r="61" spans="2:10" ht="15.75" customHeight="1" x14ac:dyDescent="0.4">
      <c r="B61" s="3" t="s">
        <v>288</v>
      </c>
    </row>
    <row r="62" spans="2:10" ht="15.75" customHeight="1" x14ac:dyDescent="0.4">
      <c r="B62" s="3" t="s">
        <v>289</v>
      </c>
    </row>
    <row r="63" spans="2:10" ht="15.75" customHeight="1" x14ac:dyDescent="0.4"/>
    <row r="64" spans="2:10" ht="15.75" customHeight="1" x14ac:dyDescent="0.4">
      <c r="B64" s="137" t="s">
        <v>391</v>
      </c>
    </row>
    <row r="65" spans="2:2" ht="15.75" customHeight="1" x14ac:dyDescent="0.4">
      <c r="B65" s="3" t="s">
        <v>394</v>
      </c>
    </row>
    <row r="66" spans="2:2" ht="15.75" customHeight="1" x14ac:dyDescent="0.4">
      <c r="B66" s="3" t="s">
        <v>393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 x14ac:dyDescent="0.4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 x14ac:dyDescent="0.4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396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337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 x14ac:dyDescent="0.4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 x14ac:dyDescent="0.4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 x14ac:dyDescent="0.4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400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3.9" x14ac:dyDescent="0.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 x14ac:dyDescent="0.4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 x14ac:dyDescent="0.4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3.9" x14ac:dyDescent="0.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383</v>
      </c>
      <c r="G23" s="6"/>
      <c r="H23" s="6"/>
      <c r="I23" s="6"/>
    </row>
    <row r="24" spans="2:10" ht="15" customHeight="1" x14ac:dyDescent="0.4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 x14ac:dyDescent="0.4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 x14ac:dyDescent="0.4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 x14ac:dyDescent="0.4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4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 x14ac:dyDescent="0.4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 x14ac:dyDescent="0.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 x14ac:dyDescent="0.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3.9" x14ac:dyDescent="0.4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 x14ac:dyDescent="0.4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 x14ac:dyDescent="0.4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 x14ac:dyDescent="0.4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 x14ac:dyDescent="0.4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76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3.9" x14ac:dyDescent="0.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76">
        <f>((Dashboard!I6*Data!C4)+D55+E53-C61-C62)</f>
        <v>285695.19999999995</v>
      </c>
      <c r="E63" s="376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 x14ac:dyDescent="0.4">
      <c r="B4" s="118" t="s">
        <v>407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 x14ac:dyDescent="0.4">
      <c r="B5" s="118" t="s">
        <v>408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 x14ac:dyDescent="0.4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 x14ac:dyDescent="0.4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 x14ac:dyDescent="0.4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 x14ac:dyDescent="0.4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 x14ac:dyDescent="0.4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 x14ac:dyDescent="0.4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 x14ac:dyDescent="0.4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 x14ac:dyDescent="0.4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 x14ac:dyDescent="0.4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 x14ac:dyDescent="0.4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 x14ac:dyDescent="0.4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 x14ac:dyDescent="0.4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 x14ac:dyDescent="0.4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 x14ac:dyDescent="0.4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 x14ac:dyDescent="0.4">
      <c r="B20" s="318" t="s">
        <v>397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 x14ac:dyDescent="0.4">
      <c r="B21" s="14" t="s">
        <v>395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 x14ac:dyDescent="0.4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 x14ac:dyDescent="0.4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 x14ac:dyDescent="0.4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 x14ac:dyDescent="0.4"/>
    <row r="26" spans="2:9" ht="15.75" customHeight="1" x14ac:dyDescent="0.4"/>
    <row r="27" spans="2:9" ht="15.75" customHeight="1" x14ac:dyDescent="0.4"/>
    <row r="28" spans="2:9" ht="15.75" customHeight="1" x14ac:dyDescent="0.4"/>
    <row r="29" spans="2:9" ht="15.75" customHeight="1" x14ac:dyDescent="0.4"/>
    <row r="30" spans="2:9" ht="15.75" customHeight="1" x14ac:dyDescent="0.4"/>
    <row r="31" spans="2:9" ht="15.75" customHeight="1" x14ac:dyDescent="0.4"/>
    <row r="32" spans="2:9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349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359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353</v>
      </c>
      <c r="J76" s="296"/>
      <c r="K76" s="296"/>
      <c r="L76" s="296"/>
      <c r="M76" s="296"/>
    </row>
    <row r="78" spans="2:13" ht="13.15" x14ac:dyDescent="0.4">
      <c r="B78" s="297" t="s">
        <v>358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356</v>
      </c>
      <c r="J80" s="295"/>
      <c r="K80" s="295"/>
      <c r="L80" s="295"/>
      <c r="M80" s="295"/>
    </row>
    <row r="81" spans="2:13" x14ac:dyDescent="0.35">
      <c r="B81" s="292" t="s">
        <v>357</v>
      </c>
      <c r="J81" s="295"/>
      <c r="K81" s="295"/>
      <c r="L81" s="295"/>
      <c r="M81" s="295"/>
    </row>
    <row r="82" spans="2:13" x14ac:dyDescent="0.35">
      <c r="B82" s="292" t="s">
        <v>355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 x14ac:dyDescent="0.35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 x14ac:dyDescent="0.35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 x14ac:dyDescent="0.35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35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35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6" zoomScaleNormal="100" zoomScalePageLayoutView="80" workbookViewId="0">
      <selection activeCell="C46" sqref="C46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 x14ac:dyDescent="0.4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 x14ac:dyDescent="0.4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 x14ac:dyDescent="0.4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 x14ac:dyDescent="0.4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 x14ac:dyDescent="0.4">
      <c r="B23" s="132" t="s">
        <v>249</v>
      </c>
      <c r="C23" s="269">
        <v>12</v>
      </c>
      <c r="D23" s="270"/>
      <c r="E23" s="98">
        <f ca="1">IF(D23="",IF(G9&lt;0,G9,G9*C23/G11),D23)</f>
        <v>3.8639898887291722</v>
      </c>
      <c r="F23" s="98">
        <f ca="1">SUM(D12:F12)+E23+$G$16</f>
        <v>10.445266990395091</v>
      </c>
      <c r="G23" s="272">
        <f ca="1">F23*Exchange_Rate</f>
        <v>10.445266990395091</v>
      </c>
      <c r="I23" s="43" t="s">
        <v>392</v>
      </c>
    </row>
    <row r="24" spans="1:9" ht="15.5" customHeight="1" x14ac:dyDescent="0.4">
      <c r="C24" s="6"/>
      <c r="D24" s="6"/>
      <c r="E24" s="391" t="s">
        <v>333</v>
      </c>
      <c r="F24" s="392"/>
      <c r="G24" s="143">
        <f ca="1">MIN(G22,G23)+ABS(G22-G23)*Qualitative_Analysis!$E$64</f>
        <v>9.8402207165345175</v>
      </c>
    </row>
    <row r="25" spans="1:9" ht="15.75" customHeight="1" x14ac:dyDescent="0.4"/>
    <row r="26" spans="1:9" ht="15.75" customHeight="1" x14ac:dyDescent="0.4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 x14ac:dyDescent="0.4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 x14ac:dyDescent="0.4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 x14ac:dyDescent="0.4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 x14ac:dyDescent="0.4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 x14ac:dyDescent="0.4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 x14ac:dyDescent="0.45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 x14ac:dyDescent="0.4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 x14ac:dyDescent="0.4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 x14ac:dyDescent="0.4">
      <c r="B35" s="141" t="s">
        <v>305</v>
      </c>
      <c r="C35" s="273">
        <f>Dashboard!C31</f>
        <v>8.1999999999999993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45">
      <c r="B36" s="142" t="s">
        <v>304</v>
      </c>
      <c r="C36" s="75"/>
      <c r="D36" s="278">
        <f ca="1">IF(D35="","",C35*D35)</f>
        <v>0.65599999999999992</v>
      </c>
      <c r="E36" s="278">
        <f ca="1">IF(E35="","", $D$36)</f>
        <v>0.65599999999999992</v>
      </c>
      <c r="F36" s="278" t="str">
        <f>IF(F35="","", $D$36)</f>
        <v/>
      </c>
      <c r="G36" s="278">
        <f ca="1">C35*G35</f>
        <v>0.65599999999999992</v>
      </c>
      <c r="H36" s="6"/>
      <c r="I36" s="43"/>
    </row>
    <row r="37" spans="1:9" ht="15.75" customHeight="1" thickTop="1" x14ac:dyDescent="0.4">
      <c r="B37" s="5" t="s">
        <v>301</v>
      </c>
      <c r="C37" s="274">
        <f>Qualitative_Analysis!E64^2</f>
        <v>0.47173301930040729</v>
      </c>
      <c r="D37" s="245">
        <f ca="1">IF(D36="","",D34-D36)</f>
        <v>-0.81381735516983467</v>
      </c>
      <c r="E37" s="245">
        <f ca="1">IF(E36="","",E34-E36)</f>
        <v>-0.26458329167168171</v>
      </c>
      <c r="F37" s="245" t="str">
        <f>IF(F36="","",F34-F36)</f>
        <v/>
      </c>
      <c r="G37" s="275">
        <f ca="1">G34-G36</f>
        <v>-0.25037379744076632</v>
      </c>
      <c r="I37" s="43" t="s">
        <v>302</v>
      </c>
    </row>
    <row r="38" spans="1:9" ht="15.75" customHeight="1" x14ac:dyDescent="0.4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 x14ac:dyDescent="0.4">
      <c r="B39" s="85" t="s">
        <v>310</v>
      </c>
      <c r="C39" s="145"/>
      <c r="D39" s="279">
        <f ca="1">IF(D37="","",D37/D38)</f>
        <v>-0.75353458812021723</v>
      </c>
      <c r="E39" s="279">
        <f ca="1">IF(E37="","",E37/E38)</f>
        <v>-0.22683752715336222</v>
      </c>
      <c r="F39" s="279" t="str">
        <f>IF(F37="","",F37/F38)</f>
        <v/>
      </c>
      <c r="G39" s="279">
        <f ca="1">G37/G38</f>
        <v>-0.32675584738553043</v>
      </c>
      <c r="I39" s="43"/>
    </row>
    <row r="40" spans="1:9" ht="15.75" customHeight="1" x14ac:dyDescent="0.4">
      <c r="B40" s="20" t="s">
        <v>331</v>
      </c>
      <c r="C40" s="6"/>
      <c r="D40" s="6"/>
      <c r="E40" s="393" t="s">
        <v>320</v>
      </c>
      <c r="F40" s="323"/>
      <c r="G40" s="280">
        <f>Asset_Model!D7</f>
        <v>7.3381497735808736</v>
      </c>
    </row>
    <row r="41" spans="1:9" ht="15.75" customHeight="1" x14ac:dyDescent="0.4">
      <c r="C41" s="6"/>
      <c r="D41" s="6"/>
      <c r="E41" s="391" t="s">
        <v>306</v>
      </c>
      <c r="F41" s="391"/>
      <c r="G41" s="281">
        <f ca="1">MAX((G40+SUM(D39:G39))*Exchange_Rate,0)</f>
        <v>6.0310218109217635</v>
      </c>
    </row>
    <row r="42" spans="1:9" ht="15.75" customHeight="1" x14ac:dyDescent="0.4"/>
    <row r="43" spans="1:9" ht="15.75" customHeight="1" x14ac:dyDescent="0.4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 x14ac:dyDescent="0.4">
      <c r="B44" s="76" t="s">
        <v>278</v>
      </c>
      <c r="C44" s="261">
        <f ca="1">MIN(G24,G41)+ABS(G24-G41)*Qualitative_Analysis!$E$8</f>
        <v>8.9260129791874565</v>
      </c>
      <c r="D44" s="262" t="str">
        <f>Dashboard!J4</f>
        <v>HKD</v>
      </c>
      <c r="E44" s="263">
        <f ca="1">(C44-G16)/C9</f>
        <v>-78.779313708323613</v>
      </c>
      <c r="F44" s="263">
        <f ca="1">C44/(Data!C29*Exchange_Rate*Data!C4/Common_Shares)</f>
        <v>0.77958971678242339</v>
      </c>
      <c r="G44" s="263">
        <f ca="1">C44/(Data!C7*Data!C4*Exchange_Rate/Common_Shares)</f>
        <v>0.42434211208207334</v>
      </c>
      <c r="I44" s="43"/>
    </row>
    <row r="45" spans="1:9" ht="15.75" customHeight="1" x14ac:dyDescent="0.4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 x14ac:dyDescent="0.4">
      <c r="B46" s="257" t="s">
        <v>314</v>
      </c>
      <c r="C46" s="258">
        <f ca="1">MIN(C45,C44)+ABS(C45-C44)*Qualitative_Analysis!E64</f>
        <v>10.019072299236996</v>
      </c>
      <c r="D46" s="256" t="str">
        <f>D45</f>
        <v>HKD</v>
      </c>
      <c r="E46" s="223">
        <f ca="1">(C46-G16)/C9</f>
        <v>-112.75885674429404</v>
      </c>
      <c r="F46" s="223">
        <f ca="1">C46/(Asset_Model!I3*Exchange_Rate*Data!C4/Common_Shares)</f>
        <v>0.87505650668410906</v>
      </c>
      <c r="G46" s="223">
        <f ca="1">C46/(Data!C7*Data!C4*Exchange_Rate/Common_Shares)</f>
        <v>0.47630608542407038</v>
      </c>
    </row>
    <row r="47" spans="1:9" ht="15.75" customHeight="1" x14ac:dyDescent="0.4">
      <c r="B47" s="84" t="s">
        <v>279</v>
      </c>
      <c r="C47" s="259">
        <f ca="1">MAX(G41,C44)/(1+Dashboard!I14)</f>
        <v>7.1408103833499652</v>
      </c>
      <c r="D47" s="260" t="str">
        <f>D45</f>
        <v>HKD</v>
      </c>
      <c r="E47" s="224">
        <f ca="1">(C47-G16)/C9</f>
        <v>-23.283360908216707</v>
      </c>
      <c r="F47" s="224">
        <f ca="1">C47/(Asset_Model!I3*Exchange_Rate*Data!C4/Common_Shares)</f>
        <v>0.62367177342593871</v>
      </c>
      <c r="G47" s="224">
        <f ca="1">C47/(Data!C7*Data!C4*Exchange_Rate/Common_Shares)</f>
        <v>0.33947368966565866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 x14ac:dyDescent="0.4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3.9" x14ac:dyDescent="0.4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3.9" x14ac:dyDescent="0.4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 x14ac:dyDescent="0.4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 x14ac:dyDescent="0.4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 x14ac:dyDescent="0.4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4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 x14ac:dyDescent="0.4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3.1020408163265305</v>
      </c>
      <c r="E54" s="175" t="s">
        <v>406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