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428D554A-2978-4540-A823-7F83F4A04341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F38" i="2"/>
  <c r="F37" i="2"/>
  <c r="G37" i="2"/>
  <c r="H37" i="2"/>
  <c r="F36" i="2"/>
  <c r="G36" i="2"/>
  <c r="G38" i="2" s="1"/>
  <c r="H36" i="2"/>
  <c r="H38" i="2" s="1"/>
  <c r="I36" i="2"/>
  <c r="I37" i="2" s="1"/>
  <c r="J36" i="2"/>
  <c r="J37" i="2" s="1"/>
  <c r="K36" i="2"/>
  <c r="K38" i="2" s="1"/>
  <c r="L36" i="2"/>
  <c r="L37" i="2" s="1"/>
  <c r="M36" i="2"/>
  <c r="M37" i="2" s="1"/>
  <c r="E33" i="2"/>
  <c r="D33" i="2"/>
  <c r="C33" i="2"/>
  <c r="D11" i="2"/>
  <c r="C11" i="2"/>
  <c r="G22" i="7"/>
  <c r="G45" i="4"/>
  <c r="C34" i="3"/>
  <c r="C38" i="3"/>
  <c r="C14" i="3"/>
  <c r="C17" i="3"/>
  <c r="M38" i="2" l="1"/>
  <c r="I38" i="2"/>
  <c r="J38" i="2"/>
  <c r="K37" i="2"/>
  <c r="L38" i="2"/>
  <c r="F23" i="7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G8" i="7" s="1"/>
  <c r="G10" i="7" s="1"/>
  <c r="E8" i="7"/>
  <c r="D8" i="7"/>
  <c r="C14" i="7"/>
  <c r="D14" i="7"/>
  <c r="E14" i="7"/>
  <c r="F14" i="7"/>
  <c r="G14" i="7" s="1"/>
  <c r="G13" i="7" s="1"/>
  <c r="I15" i="3"/>
  <c r="B18" i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C36" i="2" s="1"/>
  <c r="C37" i="2" s="1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<sst xmlns="http://schemas.openxmlformats.org/spreadsheetml/2006/main" count="481" uniqueCount="414">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</sst>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  <numFmt numFmtId="203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4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1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2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2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2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0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0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5" fontId="2" fillId="8" borderId="11" xfId="0" applyNumberFormat="1" applyFont="1" applyFill="1" applyBorder="1" applyAlignment="1">
      <alignment horizontal="center"/>
    </xf>
    <xf numFmtId="179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2" fontId="1" fillId="0" borderId="9" xfId="0" applyNumberFormat="1" applyFont="1" applyBorder="1" applyAlignment="1">
      <alignment horizontal="center"/>
    </xf>
    <xf numFmtId="182" fontId="1" fillId="0" borderId="11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99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2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8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8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0" fontId="1" fillId="0" borderId="9" xfId="0" applyNumberFormat="1" applyFont="1" applyBorder="1" applyAlignment="1">
      <alignment horizontal="center"/>
    </xf>
    <xf numFmtId="201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4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3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77" fontId="4" fillId="9" borderId="9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7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77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86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84" fontId="1" fillId="0" borderId="9" xfId="0" applyNumberFormat="1" applyFont="1" applyBorder="1" applyAlignment="1">
      <alignment horizontal="center"/>
    </xf>
    <xf numFmtId="183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202" fontId="1" fillId="14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79" fontId="2" fillId="9" borderId="9" xfId="0" applyNumberFormat="1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192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80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="144" zoomScaleNormal="100" workbookViewId="0">
      <selection activeCell="C38" sqref="C38:D38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51" t="s">
        <v>394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4">
      <c r="B4" s="5" t="s">
        <v>4</v>
      </c>
      <c r="C4" s="353" t="s">
        <v>395</v>
      </c>
      <c r="D4" s="322"/>
      <c r="E4" s="6"/>
      <c r="G4" s="5" t="s">
        <v>5</v>
      </c>
      <c r="I4" s="221">
        <v>1.64</v>
      </c>
      <c r="J4" s="222" t="s">
        <v>6</v>
      </c>
      <c r="K4" s="92"/>
    </row>
    <row r="5" spans="1:12" ht="15.75" customHeight="1" x14ac:dyDescent="0.4">
      <c r="B5" s="5" t="s">
        <v>7</v>
      </c>
      <c r="C5" s="354">
        <v>45177</v>
      </c>
      <c r="D5" s="322"/>
      <c r="E5" s="79" t="str">
        <f ca="1">IF(C5+30&gt;=TODAY(),"Patience Premium","")</f>
        <v/>
      </c>
      <c r="G5" s="5" t="s">
        <v>8</v>
      </c>
      <c r="I5" s="321">
        <v>2017360000</v>
      </c>
      <c r="J5" s="321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3308.4704000000002</v>
      </c>
      <c r="J6" s="361"/>
      <c r="K6" s="91"/>
    </row>
    <row r="7" spans="1:12" ht="15.75" customHeight="1" x14ac:dyDescent="0.4">
      <c r="B7" s="86" t="s">
        <v>10</v>
      </c>
      <c r="C7" s="218">
        <f>(Data!C42*Exchange_Rate)/I4</f>
        <v>0</v>
      </c>
      <c r="D7" s="218">
        <f>(Data!C43*Exchange_Rate)/I4</f>
        <v>1.9046401780358137E-2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 x14ac:dyDescent="0.4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0.30862278223049799</v>
      </c>
      <c r="J10" s="223">
        <f>I4/(Data!C7*Data!C4/Common_Shares*Exchange_Rate)</f>
        <v>3.3248337726854098</v>
      </c>
    </row>
    <row r="11" spans="1:12" ht="15.75" customHeight="1" thickBot="1" x14ac:dyDescent="0.45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396</v>
      </c>
      <c r="J11" s="360"/>
    </row>
    <row r="12" spans="1:12" ht="15.75" customHeight="1" thickTop="1" x14ac:dyDescent="0.4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1.0766916672388713</v>
      </c>
      <c r="J12" s="227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278</v>
      </c>
      <c r="D14" s="84"/>
      <c r="E14" s="167">
        <f ca="1">Val_Models!C44</f>
        <v>2.7827384641932325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4">
      <c r="B16" s="82">
        <f>I4</f>
        <v>1.64</v>
      </c>
      <c r="C16" s="347">
        <v>0.2</v>
      </c>
      <c r="D16" s="238">
        <f ca="1">I37/B16-(1+C16)</f>
        <v>0.55060020485145089</v>
      </c>
      <c r="E16" s="341" t="s">
        <v>21</v>
      </c>
      <c r="F16" s="362">
        <f>(Val_Models!G16)*Exchange_Rate</f>
        <v>3.1051539268399666</v>
      </c>
      <c r="G16" s="341" t="s">
        <v>22</v>
      </c>
      <c r="H16" s="239">
        <f>B16-$F$16</f>
        <v>-1.4651539268399667</v>
      </c>
      <c r="I16" s="336">
        <v>0</v>
      </c>
      <c r="J16" s="166">
        <f>I16/B16</f>
        <v>0</v>
      </c>
    </row>
    <row r="17" spans="1:10" ht="15.75" customHeight="1" x14ac:dyDescent="0.4">
      <c r="B17" s="116">
        <f ca="1">MIN((I37+I38)/2,I37/(1+C16), IF(J20=0,E14,I37/(1+C16)))</f>
        <v>2.3924869466303162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-0.71266698020965036</v>
      </c>
      <c r="I17" s="337"/>
      <c r="J17" s="149">
        <f ca="1">I16/B17</f>
        <v>0</v>
      </c>
    </row>
    <row r="18" spans="1:10" ht="15.75" customHeight="1" x14ac:dyDescent="0.4">
      <c r="B18" s="129">
        <f>C37</f>
        <v>1.6</v>
      </c>
      <c r="C18" s="349"/>
      <c r="D18" s="237">
        <f ca="1">I37/B18-(1+C16)</f>
        <v>0.59436520997273701</v>
      </c>
      <c r="E18" s="343"/>
      <c r="F18" s="364"/>
      <c r="G18" s="343"/>
      <c r="H18" s="98">
        <f>B18-$F$16</f>
        <v>-1.5051539268399665</v>
      </c>
      <c r="I18" s="338"/>
      <c r="J18" s="158">
        <f>I16/B18</f>
        <v>0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4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4">
      <c r="A22" s="6"/>
      <c r="B22" s="19" t="s">
        <v>25</v>
      </c>
      <c r="C22" s="366" t="s">
        <v>409</v>
      </c>
      <c r="D22" s="352"/>
      <c r="E22" s="352"/>
      <c r="F22" s="352"/>
      <c r="G22" s="366" t="s">
        <v>407</v>
      </c>
      <c r="H22" s="366"/>
      <c r="I22" s="352"/>
      <c r="J22" s="352"/>
    </row>
    <row r="23" spans="1:10" ht="52.5" customHeight="1" x14ac:dyDescent="0.4">
      <c r="A23" s="6"/>
      <c r="B23" s="138" t="s">
        <v>26</v>
      </c>
      <c r="C23" s="339" t="s">
        <v>412</v>
      </c>
      <c r="D23" s="340"/>
      <c r="E23" s="340"/>
      <c r="F23" s="340"/>
      <c r="G23" s="339" t="s">
        <v>413</v>
      </c>
      <c r="H23" s="339"/>
      <c r="I23" s="340"/>
      <c r="J23" s="340"/>
    </row>
    <row r="24" spans="1:10" ht="52.5" customHeight="1" x14ac:dyDescent="0.4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 x14ac:dyDescent="0.4">
      <c r="A25" s="6"/>
      <c r="B25" s="138" t="s">
        <v>290</v>
      </c>
      <c r="C25" s="370" t="s">
        <v>411</v>
      </c>
      <c r="D25" s="370"/>
      <c r="E25" s="370"/>
      <c r="F25" s="370"/>
      <c r="G25" s="370"/>
      <c r="H25" s="370"/>
      <c r="I25" s="370"/>
      <c r="J25" s="370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 x14ac:dyDescent="0.4">
      <c r="B29" s="18" t="s">
        <v>31</v>
      </c>
      <c r="C29" s="335">
        <f>C33/D27</f>
        <v>8.1818181818181818E-2</v>
      </c>
      <c r="D29" s="329"/>
      <c r="E29" s="334">
        <f>E33/D27</f>
        <v>7.2727272727272724E-2</v>
      </c>
      <c r="F29" s="329"/>
      <c r="G29" s="345">
        <f>G33/D27</f>
        <v>0</v>
      </c>
      <c r="H29" s="345"/>
      <c r="I29" s="344">
        <f>C29+E29+G29</f>
        <v>0.15454545454545454</v>
      </c>
      <c r="J29" s="344"/>
    </row>
    <row r="30" spans="1:10" ht="15.75" customHeight="1" x14ac:dyDescent="0.4">
      <c r="B30" s="18" t="s">
        <v>32</v>
      </c>
      <c r="C30" s="321">
        <v>30000</v>
      </c>
      <c r="D30" s="322"/>
      <c r="E30" s="321">
        <v>30000</v>
      </c>
      <c r="F30" s="322"/>
      <c r="G30" s="321"/>
      <c r="H30" s="321"/>
      <c r="I30" s="350">
        <f>C30+E30+G30</f>
        <v>60000</v>
      </c>
      <c r="J30" s="350"/>
    </row>
    <row r="31" spans="1:10" ht="15.75" customHeight="1" x14ac:dyDescent="0.4">
      <c r="B31" s="18" t="s">
        <v>33</v>
      </c>
      <c r="C31" s="323">
        <v>1.8</v>
      </c>
      <c r="D31" s="322"/>
      <c r="E31" s="323">
        <v>1.6</v>
      </c>
      <c r="F31" s="322"/>
      <c r="G31" s="323"/>
      <c r="H31" s="323"/>
      <c r="I31" s="333"/>
      <c r="J31" s="333"/>
    </row>
    <row r="32" spans="1:10" ht="15.75" customHeight="1" x14ac:dyDescent="0.4">
      <c r="B32" s="18" t="s">
        <v>34</v>
      </c>
      <c r="C32" s="330">
        <f>C31*$I$5/1000000</f>
        <v>3631.248</v>
      </c>
      <c r="D32" s="329"/>
      <c r="E32" s="330">
        <f>E31*$I$5/1000000</f>
        <v>3227.7759999999998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4">
      <c r="B33" s="2" t="s">
        <v>35</v>
      </c>
      <c r="C33" s="326">
        <f>C30*C31</f>
        <v>54000</v>
      </c>
      <c r="D33" s="327"/>
      <c r="E33" s="326">
        <f>E30*E31</f>
        <v>48000</v>
      </c>
      <c r="F33" s="327"/>
      <c r="G33" s="326">
        <f>G30*G31</f>
        <v>0</v>
      </c>
      <c r="H33" s="326"/>
      <c r="I33" s="326">
        <f>C33+E33+G33</f>
        <v>102000</v>
      </c>
      <c r="J33" s="326"/>
    </row>
    <row r="34" spans="2:11" ht="15.75" customHeight="1" x14ac:dyDescent="0.4">
      <c r="B34" s="1" t="s">
        <v>36</v>
      </c>
      <c r="C34" s="333"/>
      <c r="D34" s="376"/>
      <c r="E34" s="328">
        <f>IF(C33=0,"-",(C33+E33)/(C30+E30))</f>
        <v>1.7</v>
      </c>
      <c r="F34" s="329"/>
      <c r="G34" s="78"/>
      <c r="H34" s="78"/>
      <c r="I34" s="328">
        <f>IF(I33=0,"",I33/I30)</f>
        <v>1.7</v>
      </c>
      <c r="J34" s="328"/>
    </row>
    <row r="35" spans="2:11" ht="15.75" customHeight="1" x14ac:dyDescent="0.4">
      <c r="B35" s="1" t="s">
        <v>37</v>
      </c>
      <c r="C35" s="377"/>
      <c r="D35" s="378"/>
      <c r="E35" s="324">
        <f>IF(E34="-","-",E34*$I$5/1000000)</f>
        <v>3429.5120000000002</v>
      </c>
      <c r="F35" s="325"/>
      <c r="G35" s="230"/>
      <c r="H35" s="230"/>
      <c r="I35" s="324">
        <f>IF(I34="","",I34*$I$5/1000000)</f>
        <v>3429.5120000000002</v>
      </c>
      <c r="J35" s="324"/>
    </row>
    <row r="36" spans="2:11" ht="15.75" customHeight="1" x14ac:dyDescent="0.4"/>
    <row r="37" spans="2:11" ht="15.75" customHeight="1" x14ac:dyDescent="0.4">
      <c r="B37" s="87" t="s">
        <v>255</v>
      </c>
      <c r="C37" s="374">
        <f>E31</f>
        <v>1.6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2.8709843359563791</v>
      </c>
      <c r="J37" s="373"/>
    </row>
    <row r="38" spans="2:11" ht="15.75" customHeight="1" x14ac:dyDescent="0.4">
      <c r="B38" s="87" t="s">
        <v>280</v>
      </c>
      <c r="C38" s="374">
        <f>E34</f>
        <v>1.7</v>
      </c>
      <c r="D38" s="375"/>
      <c r="E38" s="6"/>
      <c r="F38" s="6"/>
      <c r="G38" s="371" t="s">
        <v>279</v>
      </c>
      <c r="H38" s="371"/>
      <c r="I38" s="372">
        <f ca="1">Val_Models!C47</f>
        <v>2.2261907713545859</v>
      </c>
      <c r="J38" s="373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 x14ac:dyDescent="0.4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4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 x14ac:dyDescent="0.4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4">
      <c r="B47" s="3" t="s">
        <v>268</v>
      </c>
      <c r="C47" s="6"/>
      <c r="D47" s="6"/>
      <c r="E47" s="171">
        <f ca="1">I37/C31-1</f>
        <v>0.59499129775354387</v>
      </c>
      <c r="F47" s="171">
        <f ca="1">I37/C38-1</f>
        <v>0.68881431526845827</v>
      </c>
      <c r="G47" s="6"/>
      <c r="H47" s="6"/>
      <c r="I47" s="6"/>
      <c r="J47" s="233"/>
    </row>
    <row r="48" spans="2:11" ht="15.75" customHeight="1" x14ac:dyDescent="0.4">
      <c r="B48" s="3" t="s">
        <v>269</v>
      </c>
      <c r="C48" s="6"/>
      <c r="D48" s="6"/>
      <c r="E48" s="171">
        <f ca="1">Val_Models!C47/C31-1</f>
        <v>0.23677265075254761</v>
      </c>
      <c r="F48" s="171">
        <f ca="1">Val_Models!C47/C38-1</f>
        <v>0.30952398314975649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271</v>
      </c>
      <c r="C50" s="6"/>
      <c r="D50" s="6"/>
      <c r="E50" s="54">
        <f ca="1">IF(E47&lt;=0,0,AVERAGE(F41:F44,0.5*(1+E47+E48-C16)))</f>
        <v>0.68176498693046306</v>
      </c>
      <c r="F50" s="171">
        <f ca="1">IF(F47&lt;=0,0,AVERAGE(F41:F44,0.5*(1+F47+F48-C16)))</f>
        <v>0.69842242192167536</v>
      </c>
      <c r="G50" s="77"/>
      <c r="H50" s="6"/>
      <c r="I50" s="6"/>
      <c r="J50" s="6"/>
    </row>
    <row r="51" spans="2:10" ht="15.75" customHeight="1" x14ac:dyDescent="0.4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4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 x14ac:dyDescent="0.4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275</v>
      </c>
    </row>
    <row r="56" spans="2:10" ht="15.75" customHeight="1" x14ac:dyDescent="0.4">
      <c r="B56" s="137" t="s">
        <v>276</v>
      </c>
    </row>
    <row r="57" spans="2:10" ht="15.75" customHeight="1" x14ac:dyDescent="0.4">
      <c r="B57" s="3" t="s">
        <v>287</v>
      </c>
    </row>
    <row r="58" spans="2:10" ht="15.75" customHeight="1" x14ac:dyDescent="0.4">
      <c r="B58" s="3" t="s">
        <v>286</v>
      </c>
    </row>
    <row r="59" spans="2:10" ht="15.75" customHeight="1" x14ac:dyDescent="0.4"/>
    <row r="60" spans="2:10" ht="15.75" customHeight="1" x14ac:dyDescent="0.4">
      <c r="B60" s="137" t="s">
        <v>277</v>
      </c>
    </row>
    <row r="61" spans="2:10" ht="15.75" customHeight="1" x14ac:dyDescent="0.4">
      <c r="B61" s="3" t="s">
        <v>288</v>
      </c>
    </row>
    <row r="62" spans="2:10" ht="15.75" customHeight="1" x14ac:dyDescent="0.4">
      <c r="B62" s="3" t="s">
        <v>289</v>
      </c>
    </row>
    <row r="63" spans="2:10" ht="15.75" customHeight="1" x14ac:dyDescent="0.4"/>
    <row r="64" spans="2:10" ht="15.75" customHeight="1" x14ac:dyDescent="0.4">
      <c r="B64" s="137" t="s">
        <v>388</v>
      </c>
    </row>
    <row r="65" spans="2:2" ht="15.75" customHeight="1" x14ac:dyDescent="0.4">
      <c r="B65" s="3" t="s">
        <v>390</v>
      </c>
    </row>
    <row r="66" spans="2:2" ht="15.75" customHeight="1" x14ac:dyDescent="0.4">
      <c r="B66" s="3" t="s">
        <v>389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5976562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4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4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338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 x14ac:dyDescent="0.4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5.0166505945906792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317</v>
      </c>
      <c r="C6" s="6"/>
      <c r="D6" s="193">
        <f>E49-I49-E53</f>
        <v>5135020.5453824066</v>
      </c>
      <c r="E6" s="149">
        <f>1-D6/D3</f>
        <v>0.45358240525546212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 x14ac:dyDescent="0.4">
      <c r="B7" s="32" t="s">
        <v>318</v>
      </c>
      <c r="C7" s="6"/>
      <c r="D7" s="187">
        <f>MAX((D6*Exchange_Rate*Data!C4)/Common_Shares, 0)</f>
        <v>2.7406282628354095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 x14ac:dyDescent="0.4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3.9" x14ac:dyDescent="0.4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 x14ac:dyDescent="0.4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3.9" x14ac:dyDescent="0.4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3.9" x14ac:dyDescent="0.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382</v>
      </c>
      <c r="G23" s="6"/>
      <c r="H23" s="6"/>
      <c r="I23" s="6"/>
    </row>
    <row r="24" spans="2:10" ht="15" customHeight="1" x14ac:dyDescent="0.4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 x14ac:dyDescent="0.4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 x14ac:dyDescent="0.4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 x14ac:dyDescent="0.4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4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 x14ac:dyDescent="0.4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 x14ac:dyDescent="0.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3.9" x14ac:dyDescent="0.4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3.9" x14ac:dyDescent="0.4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 x14ac:dyDescent="0.4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 x14ac:dyDescent="0.4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 x14ac:dyDescent="0.4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 x14ac:dyDescent="0.4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-1913</v>
      </c>
      <c r="D53" s="54">
        <f>IF(E53=0, 0,E53/C53)</f>
        <v>0.30862278223049799</v>
      </c>
      <c r="E53" s="51">
        <f>MAX(C53,C53*Dashboard!I10)</f>
        <v>-590.39538240694264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50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3.9" x14ac:dyDescent="0.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50">
        <f>((Dashboard!I6*Data!C4)+D55+E53-C61-C62)</f>
        <v>-4154501.9953824067</v>
      </c>
      <c r="E63" s="350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5976562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4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 x14ac:dyDescent="0.4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 x14ac:dyDescent="0.4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 x14ac:dyDescent="0.4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 x14ac:dyDescent="0.4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 x14ac:dyDescent="0.4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 x14ac:dyDescent="0.4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4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 x14ac:dyDescent="0.4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4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 x14ac:dyDescent="0.4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 x14ac:dyDescent="0.4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4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4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4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4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4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4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4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 x14ac:dyDescent="0.4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4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4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 x14ac:dyDescent="0.4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4"/>
    <row r="28" spans="2:12" ht="15.75" customHeight="1" x14ac:dyDescent="0.4"/>
    <row r="29" spans="2:12" ht="15.75" customHeight="1" x14ac:dyDescent="0.4"/>
    <row r="30" spans="2:12" ht="15.75" customHeight="1" x14ac:dyDescent="0.4"/>
    <row r="31" spans="2:12" ht="15.75" customHeight="1" x14ac:dyDescent="0.4"/>
    <row r="32" spans="2:1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796875"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348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358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352</v>
      </c>
      <c r="J76" s="296"/>
      <c r="K76" s="296"/>
      <c r="L76" s="296"/>
      <c r="M76" s="296"/>
    </row>
    <row r="78" spans="2:13" ht="13.15" x14ac:dyDescent="0.4">
      <c r="B78" s="297" t="s">
        <v>357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355</v>
      </c>
      <c r="J80" s="295"/>
      <c r="K80" s="295"/>
      <c r="L80" s="295"/>
      <c r="M80" s="295"/>
    </row>
    <row r="81" spans="2:13" x14ac:dyDescent="0.35">
      <c r="B81" s="292" t="s">
        <v>356</v>
      </c>
      <c r="J81" s="295"/>
      <c r="K81" s="295"/>
      <c r="L81" s="295"/>
      <c r="M81" s="295"/>
    </row>
    <row r="82" spans="2:13" x14ac:dyDescent="0.35">
      <c r="B82" s="292" t="s">
        <v>354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 x14ac:dyDescent="0.35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 x14ac:dyDescent="0.35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 x14ac:dyDescent="0.35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 x14ac:dyDescent="0.35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35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5976562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4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 x14ac:dyDescent="0.4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5818019.6953824069</v>
      </c>
    </row>
    <row r="16" spans="1:10" ht="15.75" customHeight="1" x14ac:dyDescent="0.4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2.883976927956541</v>
      </c>
    </row>
    <row r="17" spans="1:9" ht="15.75" customHeight="1" x14ac:dyDescent="0.4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590.39538240694264</v>
      </c>
      <c r="D18" s="106">
        <f>C18*Data!C4/Common_Shares</f>
        <v>2.9265742475658417E-4</v>
      </c>
      <c r="E18" s="342"/>
      <c r="F18" s="89">
        <f>D15+(MIN(D4,0)*Data!C$4/Common_Shares)</f>
        <v>2.9541328518459768</v>
      </c>
      <c r="G18" s="88">
        <f>SUM(D16:D18)</f>
        <v>-7.0155923889436242E-2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2.7590451549895292</v>
      </c>
      <c r="G22" s="271">
        <f>F22*Exchange_Rate</f>
        <v>2.9706409279130064</v>
      </c>
      <c r="I22" s="43"/>
    </row>
    <row r="23" spans="1:9" ht="15.75" customHeight="1" x14ac:dyDescent="0.4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2.7590451549895292</v>
      </c>
      <c r="G23" s="272">
        <f>F23*Exchange_Rate</f>
        <v>2.9706409279130064</v>
      </c>
      <c r="I23" s="43"/>
    </row>
    <row r="24" spans="1:9" ht="15.5" customHeight="1" x14ac:dyDescent="0.4">
      <c r="C24" s="6"/>
      <c r="D24" s="6"/>
      <c r="E24" s="391" t="s">
        <v>333</v>
      </c>
      <c r="F24" s="392"/>
      <c r="G24" s="143">
        <f>MIN(G22,G23)+ABS(G22-G23)*Qualitative_Analysis!$E$64</f>
        <v>2.9706409279130064</v>
      </c>
    </row>
    <row r="25" spans="1:9" ht="15.75" customHeight="1" x14ac:dyDescent="0.4"/>
    <row r="26" spans="1:9" ht="15.75" customHeight="1" x14ac:dyDescent="0.4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4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 x14ac:dyDescent="0.4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 x14ac:dyDescent="0.4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 x14ac:dyDescent="0.4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 x14ac:dyDescent="0.4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45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4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 x14ac:dyDescent="0.4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 x14ac:dyDescent="0.4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45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0.14400000000000002</v>
      </c>
      <c r="H36" s="6"/>
      <c r="I36" s="43"/>
    </row>
    <row r="37" spans="1:9" ht="15.75" customHeight="1" thickTop="1" x14ac:dyDescent="0.4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-0.27915065606174938</v>
      </c>
      <c r="I37" s="43" t="s">
        <v>302</v>
      </c>
    </row>
    <row r="38" spans="1:9" ht="15.75" customHeight="1" x14ac:dyDescent="0.4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0.98822496178675567</v>
      </c>
      <c r="I38" s="43"/>
    </row>
    <row r="39" spans="1:9" ht="15.75" customHeight="1" x14ac:dyDescent="0.4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-0.2824768315475783</v>
      </c>
      <c r="I39" s="43"/>
    </row>
    <row r="40" spans="1:9" ht="15.75" customHeight="1" x14ac:dyDescent="0.4">
      <c r="B40" s="20" t="s">
        <v>331</v>
      </c>
      <c r="C40" s="6"/>
      <c r="D40" s="6"/>
      <c r="E40" s="393" t="s">
        <v>320</v>
      </c>
      <c r="F40" s="371"/>
      <c r="G40" s="280">
        <f>Asset_Model!D7</f>
        <v>2.7406282628354095</v>
      </c>
    </row>
    <row r="41" spans="1:9" ht="15.75" customHeight="1" x14ac:dyDescent="0.4">
      <c r="C41" s="6"/>
      <c r="D41" s="6"/>
      <c r="E41" s="391" t="s">
        <v>306</v>
      </c>
      <c r="F41" s="391"/>
      <c r="G41" s="281">
        <f ca="1">MAX((G40+SUM(D39:G39))*Exchange_Rate,0)</f>
        <v>2.646671162878913</v>
      </c>
    </row>
    <row r="42" spans="1:9" ht="15.75" customHeight="1" x14ac:dyDescent="0.4"/>
    <row r="43" spans="1:9" ht="15.75" customHeight="1" x14ac:dyDescent="0.4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 x14ac:dyDescent="0.4">
      <c r="B44" s="76" t="s">
        <v>278</v>
      </c>
      <c r="C44" s="261">
        <f ca="1">MIN(G24,G41)+ABS(G24-G41)*Qualitative_Analysis!$E$8</f>
        <v>2.7827384641932325</v>
      </c>
      <c r="D44" s="262" t="str">
        <f>Dashboard!J4</f>
        <v>HKD</v>
      </c>
      <c r="E44" s="263">
        <f ca="1">(C44-G16)/C9</f>
        <v>2.9669711670862369</v>
      </c>
      <c r="F44" s="263">
        <f ca="1">C44/(Data!C29*Exchange_Rate*Data!C4/Common_Shares)</f>
        <v>0.52366858965801122</v>
      </c>
      <c r="G44" s="263">
        <f ca="1">(C44*Common_Shares)/(Data!$C$7*Data!$C$4*Exchange_Rate)</f>
        <v>5.6415505038417013</v>
      </c>
      <c r="I44" s="43"/>
    </row>
    <row r="45" spans="1:9" ht="15.75" customHeight="1" x14ac:dyDescent="0.4">
      <c r="B45" s="6" t="s">
        <v>313</v>
      </c>
      <c r="C45" s="255">
        <v>3</v>
      </c>
      <c r="D45" s="256" t="str">
        <f>D44</f>
        <v>HKD</v>
      </c>
      <c r="E45" s="223">
        <f>(C45-G16)/C9</f>
        <v>-3.4002601054330928</v>
      </c>
      <c r="F45" s="223">
        <f>C45/(Asset_Model!I3*Exchange_Rate*Data!C4/Common_Shares)</f>
        <v>0.59800856037987182</v>
      </c>
      <c r="G45" s="223">
        <f>(C45*Common_Shares)/(Data!$C$7*Data!$C$4*Exchange_Rate)</f>
        <v>6.0820129988147746</v>
      </c>
      <c r="I45" s="43"/>
    </row>
    <row r="46" spans="1:9" ht="15.75" customHeight="1" x14ac:dyDescent="0.4">
      <c r="B46" s="257" t="s">
        <v>314</v>
      </c>
      <c r="C46" s="258">
        <f ca="1">MIN(C45,C44)+ABS(C45-C44)*Qualitative_Analysis!E64</f>
        <v>2.8709843359563791</v>
      </c>
      <c r="D46" s="256" t="str">
        <f>D45</f>
        <v>HKD</v>
      </c>
      <c r="E46" s="223">
        <f ca="1">(C46-G16)/C9</f>
        <v>0.38077075073285199</v>
      </c>
      <c r="F46" s="223">
        <f ca="1">C46/(Asset_Model!I3*Exchange_Rate*Data!C4/Common_Shares)</f>
        <v>0.5722910698728122</v>
      </c>
      <c r="G46" s="223">
        <f ca="1">(C46*Common_Shares)/(Data!$C$7*Data!$C$4*Exchange_Rate)</f>
        <v>5.8204546835601008</v>
      </c>
    </row>
    <row r="47" spans="1:9" ht="15.75" customHeight="1" x14ac:dyDescent="0.4">
      <c r="B47" s="84" t="s">
        <v>279</v>
      </c>
      <c r="C47" s="259">
        <f ca="1">MAX(G41,C44)/(1+Dashboard!I14)</f>
        <v>2.2261907713545859</v>
      </c>
      <c r="D47" s="260" t="str">
        <f>D45</f>
        <v>HKD</v>
      </c>
      <c r="E47" s="224">
        <f ca="1">(C47-G16)/C9</f>
        <v>19.277579767600095</v>
      </c>
      <c r="F47" s="224">
        <f ca="1">C47/(Asset_Model!I3*Exchange_Rate*Data!C4/Common_Shares)</f>
        <v>0.44376037943623742</v>
      </c>
      <c r="G47" s="224">
        <f ca="1">(C47*Common_Shares)/(Data!$C$7*Data!$C$4*Exchange_Rate)</f>
        <v>4.5132404030733611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59765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3.9" x14ac:dyDescent="0.4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 x14ac:dyDescent="0.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 x14ac:dyDescent="0.4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 x14ac:dyDescent="0.4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 x14ac:dyDescent="0.4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 x14ac:dyDescent="0.4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 x14ac:dyDescent="0.4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4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