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1F2AAD38-4574-4EBF-8912-ADD7E2E162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iterate="1" concurrentCalc="0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0" i="1" l="1"/>
  <c r="E50" i="3"/>
  <c r="D6" i="3"/>
  <c r="D7" i="3"/>
  <c r="C21" i="4"/>
  <c r="G18" i="4"/>
  <c r="G19" i="4"/>
  <c r="G29" i="4"/>
  <c r="F25" i="4"/>
  <c r="G25" i="4"/>
  <c r="C30" i="4"/>
  <c r="F26" i="4"/>
  <c r="G26" i="4"/>
  <c r="E30" i="4"/>
  <c r="C33" i="4"/>
  <c r="H14" i="1"/>
  <c r="B17" i="1"/>
  <c r="D18" i="1"/>
  <c r="B15" i="1"/>
  <c r="E26" i="4"/>
  <c r="E25" i="4"/>
  <c r="E27" i="4"/>
  <c r="F27" i="4"/>
  <c r="G27" i="4"/>
  <c r="G24" i="4"/>
  <c r="F24" i="4"/>
  <c r="C34" i="4"/>
  <c r="C12" i="1"/>
  <c r="D13" i="4"/>
  <c r="D14" i="4"/>
  <c r="D15" i="4"/>
  <c r="F14" i="1"/>
  <c r="I35" i="1"/>
  <c r="F45" i="1"/>
  <c r="F42" i="1"/>
  <c r="D49" i="1"/>
  <c r="C50" i="1"/>
  <c r="E42" i="1"/>
  <c r="F48" i="1"/>
  <c r="D14" i="1"/>
  <c r="F46" i="1"/>
  <c r="F49" i="1"/>
  <c r="E50" i="1"/>
  <c r="B50" i="1"/>
  <c r="D9" i="4"/>
  <c r="E9" i="4"/>
  <c r="E15" i="4"/>
  <c r="F9" i="4"/>
  <c r="F15" i="4"/>
  <c r="G9" i="4"/>
  <c r="F43" i="1"/>
  <c r="F39" i="1"/>
  <c r="F40" i="1"/>
  <c r="F41" i="1"/>
  <c r="C35" i="1"/>
  <c r="B18" i="1"/>
  <c r="D17" i="1"/>
  <c r="B16" i="1"/>
  <c r="D16" i="1"/>
  <c r="G12" i="4"/>
  <c r="G34" i="4"/>
  <c r="I3" i="7"/>
  <c r="F3" i="4"/>
  <c r="G3" i="7"/>
  <c r="E3" i="4"/>
  <c r="G4" i="4"/>
  <c r="D18" i="4"/>
  <c r="F21" i="4"/>
  <c r="D4" i="4"/>
  <c r="C18" i="4"/>
  <c r="C19" i="4"/>
  <c r="C20" i="4"/>
  <c r="F4" i="4"/>
  <c r="E4" i="4"/>
  <c r="D7" i="4"/>
  <c r="D8" i="4"/>
  <c r="G8" i="4"/>
  <c r="E4" i="7"/>
  <c r="E8" i="7"/>
  <c r="E10" i="7"/>
  <c r="E12" i="7"/>
  <c r="E17" i="7"/>
  <c r="E20" i="7"/>
  <c r="G20" i="7"/>
  <c r="E8" i="4"/>
  <c r="I20" i="7"/>
  <c r="F8" i="4"/>
  <c r="C15" i="4"/>
  <c r="G13" i="4"/>
  <c r="G14" i="4"/>
  <c r="F5" i="7"/>
  <c r="F6" i="7"/>
  <c r="F7" i="7"/>
  <c r="F4" i="7"/>
  <c r="E5" i="7"/>
  <c r="E7" i="7"/>
  <c r="E6" i="7"/>
  <c r="E14" i="7"/>
  <c r="C14" i="7"/>
  <c r="E11" i="7"/>
  <c r="C8" i="7"/>
  <c r="D5" i="7"/>
  <c r="D65" i="3"/>
  <c r="C36" i="3"/>
  <c r="C17" i="3"/>
  <c r="D7" i="7"/>
  <c r="D4" i="7"/>
  <c r="D6" i="7"/>
  <c r="E6" i="1"/>
  <c r="C3" i="7"/>
  <c r="E26" i="1"/>
  <c r="C36" i="1"/>
  <c r="E7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I17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4" i="3"/>
  <c r="D6" i="1"/>
  <c r="C29" i="4"/>
  <c r="C3" i="4"/>
  <c r="E3" i="7"/>
  <c r="B3" i="4"/>
  <c r="C17" i="4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1" i="7"/>
  <c r="C13" i="7"/>
  <c r="B3" i="7"/>
  <c r="C12" i="7"/>
  <c r="C17" i="7"/>
  <c r="C20" i="7"/>
  <c r="E9" i="7"/>
  <c r="C4" i="4"/>
  <c r="C7" i="4"/>
  <c r="C8" i="4"/>
  <c r="C9" i="4"/>
  <c r="C10" i="4"/>
  <c r="C19" i="7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8" i="7"/>
  <c r="E19" i="7"/>
  <c r="G10" i="7"/>
  <c r="D52" i="3"/>
  <c r="D20" i="4"/>
  <c r="I53" i="3"/>
  <c r="C44" i="3"/>
  <c r="C25" i="3"/>
  <c r="I7" i="3"/>
  <c r="E16" i="7"/>
  <c r="G12" i="7"/>
  <c r="G17" i="7"/>
  <c r="I16" i="7"/>
  <c r="B24" i="4"/>
  <c r="G2" i="4"/>
  <c r="E15" i="7"/>
  <c r="C45" i="3"/>
  <c r="E12" i="3"/>
  <c r="G16" i="7"/>
  <c r="G18" i="7"/>
  <c r="I18" i="7"/>
  <c r="I19" i="7"/>
  <c r="G15" i="7"/>
  <c r="D10" i="4"/>
  <c r="D5" i="4"/>
  <c r="D53" i="5"/>
  <c r="E35" i="3"/>
  <c r="G19" i="7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E58" i="3"/>
  <c r="D58" i="3"/>
  <c r="D36" i="5"/>
  <c r="E33" i="2"/>
  <c r="E34" i="2"/>
  <c r="D6" i="5"/>
  <c r="D55" i="5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3" i="2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J44" i="3"/>
  <c r="E6" i="5"/>
  <c r="D50" i="3"/>
  <c r="J26" i="3"/>
  <c r="D18" i="5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G15" i="4"/>
  <c r="F34" i="4"/>
  <c r="E34" i="4"/>
  <c r="C11" i="1"/>
  <c r="D12" i="5"/>
  <c r="E64" i="5"/>
  <c r="D5" i="5"/>
  <c r="D64" i="5"/>
  <c r="E7" i="5"/>
  <c r="D7" i="5"/>
  <c r="D8" i="5"/>
  <c r="E8" i="5"/>
  <c r="E5" i="5"/>
  <c r="D30" i="4"/>
  <c r="I36" i="1"/>
  <c r="E33" i="4"/>
  <c r="J25" i="1"/>
  <c r="F33" i="4"/>
  <c r="F50" i="1"/>
  <c r="E49" i="1"/>
  <c r="F17" i="1"/>
  <c r="J17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<sst xmlns="http://schemas.openxmlformats.org/spreadsheetml/2006/main" count="416" uniqueCount="352">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</sst>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E16" sqref="E16:E18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1" t="s">
        <v>334</v>
      </c>
      <c r="D3" s="402"/>
      <c r="E3" s="15"/>
      <c r="G3" s="7" t="s">
        <v>2</v>
      </c>
      <c r="I3" s="411" t="s">
        <v>3</v>
      </c>
      <c r="J3" s="412"/>
    </row>
    <row r="4" spans="1:12" ht="15.75" customHeight="1" x14ac:dyDescent="0.3">
      <c r="B4" s="5" t="s">
        <v>4</v>
      </c>
      <c r="C4" s="403" t="s">
        <v>335</v>
      </c>
      <c r="D4" s="404"/>
      <c r="E4" s="6"/>
      <c r="G4" s="5" t="s">
        <v>5</v>
      </c>
      <c r="I4" s="32">
        <v>1.76</v>
      </c>
      <c r="J4" s="33" t="s">
        <v>6</v>
      </c>
      <c r="K4" s="152"/>
    </row>
    <row r="5" spans="1:12" ht="15.75" customHeight="1" x14ac:dyDescent="0.3">
      <c r="B5" s="5" t="s">
        <v>7</v>
      </c>
      <c r="C5" s="405">
        <v>44931</v>
      </c>
      <c r="D5" s="404"/>
      <c r="E5" s="122" t="str">
        <f ca="1">IF(C5+30&gt;=TODAY(),"Patience Premium","")</f>
        <v/>
      </c>
      <c r="G5" s="5" t="s">
        <v>8</v>
      </c>
      <c r="I5" s="413">
        <v>1333330500</v>
      </c>
      <c r="J5" s="414"/>
      <c r="K5" s="151"/>
      <c r="L5" s="85"/>
    </row>
    <row r="6" spans="1:12" ht="15.75" customHeight="1" x14ac:dyDescent="0.3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5">
        <f>I4*I5/1000000</f>
        <v>2346.6616800000002</v>
      </c>
      <c r="J6" s="416"/>
      <c r="K6" s="151"/>
    </row>
    <row r="7" spans="1:12" ht="15.75" customHeight="1" x14ac:dyDescent="0.3">
      <c r="B7" s="139" t="s">
        <v>10</v>
      </c>
      <c r="C7" s="145">
        <f>(Data!C39*Exchange_Rate)/I4</f>
        <v>2.8599356362858482E-2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22.274655742318188</v>
      </c>
      <c r="J9" s="48">
        <f>IF(I9="NNI","NNI",1/I9)</f>
        <v>4.4894072059671129E-2</v>
      </c>
    </row>
    <row r="10" spans="1:12" ht="15.75" customHeight="1" x14ac:dyDescent="0.3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0.74996183954693452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2" t="s">
        <v>267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336</v>
      </c>
      <c r="J11" s="424"/>
    </row>
    <row r="12" spans="1:12" ht="15.75" customHeight="1" thickTop="1" x14ac:dyDescent="0.3">
      <c r="B12" s="313" t="s">
        <v>145</v>
      </c>
      <c r="C12" s="379">
        <f ca="1">IF(C10="CN",8%,6%)*IF($C$5+30&gt;=TODAY(),1.2,1)</f>
        <v>0.08</v>
      </c>
      <c r="D12" s="380"/>
      <c r="G12" s="134" t="s">
        <v>16</v>
      </c>
      <c r="H12" s="133"/>
      <c r="I12" s="135">
        <v>1.1439653237660725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>MIN('FCFF Model'!C30,'FCFF Model'!E30)</f>
        <v>1.8001153392017026</v>
      </c>
      <c r="E14" s="127" t="s">
        <v>227</v>
      </c>
      <c r="F14" s="184">
        <f>MAX('FCFF Model'!C30,'FCFF Model'!E30)</f>
        <v>2.0402161228044116</v>
      </c>
      <c r="G14" s="185" t="s">
        <v>24</v>
      </c>
      <c r="H14" s="193">
        <f>IF('FCFF Model'!C33&lt;0, "Error", 'FCFF Model'!C33)</f>
        <v>1.9103738657125928</v>
      </c>
      <c r="I14" s="133"/>
      <c r="J14" s="133"/>
    </row>
    <row r="15" spans="1:12" ht="15.75" customHeight="1" x14ac:dyDescent="0.3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1.76</v>
      </c>
      <c r="C16" s="389">
        <v>0.1</v>
      </c>
      <c r="D16" s="159">
        <f>IF(B17='FCFF Model'!G29,"Net Asset", H14/B16-1-C16)</f>
        <v>-1.4560303572390382E-2</v>
      </c>
      <c r="E16" s="384">
        <f>'FCFF Model'!D11*Exchange_Rate</f>
        <v>0.25167237122853597</v>
      </c>
      <c r="F16" s="161">
        <f>E16/B16</f>
        <v>0.14299566547075906</v>
      </c>
      <c r="G16" s="392" t="s">
        <v>25</v>
      </c>
      <c r="H16" s="417">
        <f>('FCFF Model'!G19)*Exchange_Rate</f>
        <v>2.0402161228044116</v>
      </c>
      <c r="I16" s="392" t="s">
        <v>26</v>
      </c>
      <c r="J16" s="206">
        <f>B16-$H$16</f>
        <v>-0.28021612280441155</v>
      </c>
    </row>
    <row r="17" spans="1:10" ht="15.75" customHeight="1" x14ac:dyDescent="0.3">
      <c r="B17" s="289">
        <f>MAX(H14/(1+C16),'FCFF Model'!G29)</f>
        <v>1.7367035142841751</v>
      </c>
      <c r="C17" s="390"/>
      <c r="D17" s="288">
        <f>IF(B17='FCFF Model'!G29,"Net Asset",H14/B17-1-C16)</f>
        <v>8.3266726846886741E-17</v>
      </c>
      <c r="E17" s="385"/>
      <c r="F17" s="162">
        <f>E16/B17</f>
        <v>0.14491383771528146</v>
      </c>
      <c r="G17" s="393"/>
      <c r="H17" s="418"/>
      <c r="I17" s="393"/>
      <c r="J17" s="205">
        <f>B17-$H$16</f>
        <v>-0.30351260852023643</v>
      </c>
    </row>
    <row r="18" spans="1:10" ht="15.75" customHeight="1" x14ac:dyDescent="0.3">
      <c r="B18" s="355">
        <f>C35</f>
        <v>1.62</v>
      </c>
      <c r="C18" s="391"/>
      <c r="D18" s="160">
        <f>IF(B17='FCFF Model'!G29,"NA: "&amp;ROUND('FCFF Model'!G29/B18-1,2)*100&amp;"%", H14/B18-1-C16)</f>
        <v>7.9243126983081863E-2</v>
      </c>
      <c r="E18" s="386"/>
      <c r="F18" s="163">
        <f>E16/B18</f>
        <v>0.15535331557317034</v>
      </c>
      <c r="G18" s="394"/>
      <c r="H18" s="419"/>
      <c r="I18" s="394"/>
      <c r="J18" s="207">
        <f>B18-$H$16</f>
        <v>-0.42021612280441145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8" t="s">
        <v>337</v>
      </c>
      <c r="D21" s="409"/>
      <c r="E21" s="409"/>
      <c r="F21" s="409"/>
      <c r="G21" s="409"/>
      <c r="H21" s="409"/>
      <c r="I21" s="409"/>
      <c r="J21" s="410"/>
    </row>
    <row r="22" spans="1:10" ht="52.5" customHeight="1" x14ac:dyDescent="0.3">
      <c r="A22" s="6"/>
      <c r="B22" s="24" t="s">
        <v>29</v>
      </c>
      <c r="C22" s="421" t="s">
        <v>339</v>
      </c>
      <c r="D22" s="422"/>
      <c r="E22" s="422"/>
      <c r="F22" s="422"/>
      <c r="G22" s="421" t="s">
        <v>340</v>
      </c>
      <c r="H22" s="421"/>
      <c r="I22" s="422"/>
      <c r="J22" s="422"/>
    </row>
    <row r="23" spans="1:10" ht="52.5" customHeight="1" x14ac:dyDescent="0.3">
      <c r="A23" s="6"/>
      <c r="B23" s="25" t="s">
        <v>30</v>
      </c>
      <c r="C23" s="387" t="s">
        <v>341</v>
      </c>
      <c r="D23" s="388"/>
      <c r="E23" s="388"/>
      <c r="F23" s="388"/>
      <c r="G23" s="387" t="s">
        <v>342</v>
      </c>
      <c r="H23" s="387"/>
      <c r="I23" s="388"/>
      <c r="J23" s="38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1.5282990925700743</v>
      </c>
    </row>
    <row r="26" spans="1:10" ht="15.75" customHeight="1" x14ac:dyDescent="0.3">
      <c r="B26" s="23" t="s">
        <v>33</v>
      </c>
      <c r="C26" s="406"/>
      <c r="D26" s="407"/>
      <c r="E26" s="398" t="str">
        <f>IF(C26="","","Action_Planning")</f>
        <v/>
      </c>
      <c r="F26" s="399"/>
      <c r="G26" s="399"/>
      <c r="H26" s="400"/>
      <c r="I26" s="420" t="s">
        <v>34</v>
      </c>
      <c r="J26" s="420"/>
    </row>
    <row r="27" spans="1:10" ht="15.75" customHeight="1" x14ac:dyDescent="0.3">
      <c r="B27" s="23" t="s">
        <v>35</v>
      </c>
      <c r="C27" s="383">
        <f>C31/D25</f>
        <v>0.11666666666666667</v>
      </c>
      <c r="D27" s="382"/>
      <c r="E27" s="381">
        <f>E31/D25</f>
        <v>8.1000000000000003E-2</v>
      </c>
      <c r="F27" s="382"/>
      <c r="G27" s="396">
        <f>G31/D25</f>
        <v>0.10533333333333333</v>
      </c>
      <c r="H27" s="397"/>
      <c r="I27" s="395">
        <f>C27+E27+G27</f>
        <v>0.30299999999999999</v>
      </c>
      <c r="J27" s="395"/>
    </row>
    <row r="28" spans="1:10" ht="15.75" customHeight="1" x14ac:dyDescent="0.3">
      <c r="B28" s="23" t="s">
        <v>36</v>
      </c>
      <c r="C28" s="372">
        <v>40000</v>
      </c>
      <c r="D28" s="422"/>
      <c r="E28" s="372">
        <v>30000</v>
      </c>
      <c r="F28" s="422"/>
      <c r="G28" s="413">
        <v>40000</v>
      </c>
      <c r="H28" s="414"/>
      <c r="I28" s="437">
        <f>C28+E28+G28</f>
        <v>110000</v>
      </c>
      <c r="J28" s="437"/>
    </row>
    <row r="29" spans="1:10" ht="15.75" customHeight="1" x14ac:dyDescent="0.3">
      <c r="B29" s="23" t="s">
        <v>37</v>
      </c>
      <c r="C29" s="447">
        <v>1.75</v>
      </c>
      <c r="D29" s="422"/>
      <c r="E29" s="447">
        <v>1.62</v>
      </c>
      <c r="F29" s="422"/>
      <c r="G29" s="427">
        <v>1.58</v>
      </c>
      <c r="H29" s="428"/>
      <c r="I29" s="433"/>
      <c r="J29" s="433"/>
    </row>
    <row r="30" spans="1:10" ht="15.75" customHeight="1" x14ac:dyDescent="0.3">
      <c r="B30" s="23" t="s">
        <v>38</v>
      </c>
      <c r="C30" s="435">
        <f>C29*$I$5/1000000</f>
        <v>2333.3283750000001</v>
      </c>
      <c r="D30" s="442"/>
      <c r="E30" s="435">
        <f>E29*$I$5/1000000</f>
        <v>2159.99541</v>
      </c>
      <c r="F30" s="442"/>
      <c r="G30" s="429">
        <f>G29*$I$5/1000000</f>
        <v>2106.66219</v>
      </c>
      <c r="H30" s="430"/>
      <c r="I30" s="434"/>
      <c r="J30" s="434"/>
    </row>
    <row r="31" spans="1:10" ht="15.75" customHeight="1" x14ac:dyDescent="0.3">
      <c r="B31" s="2" t="s">
        <v>39</v>
      </c>
      <c r="C31" s="443">
        <f>C28*C29</f>
        <v>70000</v>
      </c>
      <c r="D31" s="444"/>
      <c r="E31" s="436">
        <f>E28*E29</f>
        <v>48600</v>
      </c>
      <c r="F31" s="445"/>
      <c r="G31" s="431">
        <f>G28*G29</f>
        <v>63200</v>
      </c>
      <c r="H31" s="432"/>
      <c r="I31" s="436">
        <f>C31+E31+G31</f>
        <v>181800</v>
      </c>
      <c r="J31" s="436"/>
    </row>
    <row r="32" spans="1:10" ht="15.75" customHeight="1" x14ac:dyDescent="0.3">
      <c r="B32" s="1" t="s">
        <v>40</v>
      </c>
      <c r="C32" s="438"/>
      <c r="D32" s="439"/>
      <c r="E32" s="446">
        <f>IF(C31=0,"-",(C31+E31)/(C28+E28))</f>
        <v>1.6942857142857144</v>
      </c>
      <c r="F32" s="382"/>
      <c r="G32" s="117"/>
      <c r="H32" s="117"/>
      <c r="I32" s="446">
        <f>IF(I31=0,"",I31/I28)</f>
        <v>1.6527272727272728</v>
      </c>
      <c r="J32" s="446"/>
    </row>
    <row r="33" spans="2:11" ht="15.75" customHeight="1" x14ac:dyDescent="0.3">
      <c r="B33" s="1" t="s">
        <v>41</v>
      </c>
      <c r="C33" s="440"/>
      <c r="D33" s="441"/>
      <c r="E33" s="435">
        <f>IF(E32="-","-",E32*$I$5/1000000)</f>
        <v>2259.0428185714286</v>
      </c>
      <c r="F33" s="442"/>
      <c r="G33" s="118"/>
      <c r="H33" s="118"/>
      <c r="I33" s="435">
        <f>IF(I32="","",I32*$I$5/1000000)</f>
        <v>2203.6316809090908</v>
      </c>
      <c r="J33" s="435"/>
    </row>
    <row r="34" spans="2:11" ht="15.75" customHeight="1" x14ac:dyDescent="0.3"/>
    <row r="35" spans="2:11" ht="15.75" customHeight="1" x14ac:dyDescent="0.3">
      <c r="B35" s="146" t="s">
        <v>309</v>
      </c>
      <c r="C35" s="370">
        <f>E29</f>
        <v>1.62</v>
      </c>
      <c r="D35" s="371"/>
      <c r="G35" s="374" t="s">
        <v>311</v>
      </c>
      <c r="H35" s="375"/>
      <c r="I35" s="370">
        <f>F14</f>
        <v>2.0402161228044116</v>
      </c>
      <c r="J35" s="371"/>
    </row>
    <row r="36" spans="2:11" ht="15.75" customHeight="1" x14ac:dyDescent="0.3">
      <c r="B36" s="146" t="s">
        <v>310</v>
      </c>
      <c r="C36" s="372">
        <f>E28</f>
        <v>30000</v>
      </c>
      <c r="D36" s="373"/>
      <c r="G36" s="376" t="s">
        <v>321</v>
      </c>
      <c r="H36" s="376"/>
      <c r="I36" s="377">
        <f>IF(C26="",0,I35/C29-1)</f>
        <v>0</v>
      </c>
      <c r="J36" s="378"/>
    </row>
    <row r="37" spans="2:11" ht="15.75" customHeight="1" x14ac:dyDescent="0.3"/>
    <row r="38" spans="2:11" ht="15.75" customHeight="1" x14ac:dyDescent="0.3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3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 x14ac:dyDescent="0.3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327</v>
      </c>
      <c r="F45" s="365">
        <f>I35/C29-1</f>
        <v>0.16583778445966368</v>
      </c>
    </row>
    <row r="46" spans="2:11" ht="15.75" customHeight="1" x14ac:dyDescent="0.3">
      <c r="B46" s="3" t="s">
        <v>328</v>
      </c>
      <c r="F46" s="365">
        <f>D14/C29-1</f>
        <v>2.863733668668722E-2</v>
      </c>
    </row>
    <row r="47" spans="2:11" ht="15.75" customHeight="1" x14ac:dyDescent="0.3"/>
    <row r="48" spans="2:11" ht="15.75" customHeight="1" x14ac:dyDescent="0.3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 x14ac:dyDescent="0.3">
      <c r="B49" s="3" t="s">
        <v>329</v>
      </c>
      <c r="D49" s="367">
        <f>IF(OR(F42="Strongly Agree",F42="Agree"),2,4)</f>
        <v>4</v>
      </c>
      <c r="E49" s="363">
        <f>F45/ABS(F46)</f>
        <v>5.7909639528999044</v>
      </c>
      <c r="F49" s="360">
        <f>IF(F46&gt;=0,100,F45/ABS(F46))</f>
        <v>100</v>
      </c>
      <c r="G49" s="74"/>
    </row>
    <row r="50" spans="2:8" ht="15.75" customHeight="1" x14ac:dyDescent="0.3">
      <c r="B50" s="368" t="str">
        <f>IF(D49=4,"⇒ Quarter Kelly %", "⇒ Half Kelly %")</f>
        <v>⇒ Quarter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40" sqref="C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 x14ac:dyDescent="0.3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2.4054604646900781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1.6340679600032741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 x14ac:dyDescent="0.3">
      <c r="D8" s="6"/>
      <c r="H8" s="3" t="s">
        <v>314</v>
      </c>
      <c r="I8" s="69">
        <f>C24/I26</f>
        <v>3.2124752885050021</v>
      </c>
      <c r="K8" s="74"/>
    </row>
    <row r="9" spans="1:11" ht="15" customHeight="1" x14ac:dyDescent="0.3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3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 x14ac:dyDescent="0.3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3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3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5" thickTop="1" x14ac:dyDescent="0.3">
      <c r="B53" s="58" t="s">
        <v>229</v>
      </c>
      <c r="C53" s="6"/>
      <c r="D53" s="451">
        <f>SUM(I11:I13)+SUM(I28:I30)</f>
        <v>16614</v>
      </c>
      <c r="E53" s="444"/>
      <c r="F53" s="5"/>
      <c r="G53" s="5"/>
      <c r="H53" s="3" t="s">
        <v>318</v>
      </c>
      <c r="I53" s="14">
        <f>D53/I3</f>
        <v>5.9258551186562071E-3</v>
      </c>
    </row>
    <row r="54" spans="2:9" ht="14" x14ac:dyDescent="0.3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50"/>
      <c r="E57" s="450"/>
      <c r="F57" s="19"/>
      <c r="G57" s="19"/>
    </row>
    <row r="58" spans="2:9" ht="15" customHeight="1" x14ac:dyDescent="0.3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 x14ac:dyDescent="0.3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 x14ac:dyDescent="0.3">
      <c r="B60" s="53" t="s">
        <v>135</v>
      </c>
      <c r="C60" s="6"/>
      <c r="D60" s="454">
        <f>((Dashboard!I6*Data!C4)+D52+E50-C58-C59)</f>
        <v>-498869.31999999983</v>
      </c>
      <c r="E60" s="45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257</v>
      </c>
    </row>
    <row r="63" spans="2:9" ht="15" customHeight="1" x14ac:dyDescent="0.3">
      <c r="B63" s="3" t="s">
        <v>260</v>
      </c>
      <c r="D63" s="377">
        <f>((C26-C11-C12-C14-C15-C16*G16-C19*G19-C20*G20)-I26)/Data!C7</f>
        <v>-0.16776182102549406</v>
      </c>
      <c r="E63" s="378"/>
    </row>
    <row r="64" spans="2:9" ht="15" customHeight="1" x14ac:dyDescent="0.3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 x14ac:dyDescent="0.3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4" sqref="E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3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 x14ac:dyDescent="0.3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3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3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3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3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3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3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3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3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3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3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3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3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263</v>
      </c>
      <c r="C7" s="309">
        <f>C4*C6</f>
        <v>229.11314999999999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364.13684999999998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2.7310321784433791E-4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3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3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3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 x14ac:dyDescent="0.3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 x14ac:dyDescent="0.3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3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3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 x14ac:dyDescent="0.3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 x14ac:dyDescent="0.3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1.6340679600032741</v>
      </c>
      <c r="H29" s="12"/>
      <c r="I29" s="90"/>
    </row>
    <row r="30" spans="1:9" ht="15.75" customHeight="1" x14ac:dyDescent="0.3">
      <c r="A30" s="6"/>
      <c r="B30" s="71" t="s">
        <v>147</v>
      </c>
      <c r="C30" s="252">
        <f>MIN(G29,G25)+(ABS(G29-G25)*'Qualitative Analysis'!E8)</f>
        <v>1.8001153392017026</v>
      </c>
      <c r="D30" s="23" t="str">
        <f>IF(C30&lt;E30,"&lt;",IF(C30=E30,"=","&gt;"))</f>
        <v>&lt;</v>
      </c>
      <c r="E30" s="251">
        <f>MAX(G26, G19*Exchange_Rate)</f>
        <v>2.0402161228044116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226</v>
      </c>
      <c r="C33" s="253">
        <f>MIN(C30,E30)+ABS(C30-E30)*'Qualitative Analysis'!$E$64</f>
        <v>1.9103738657125928</v>
      </c>
      <c r="D33" s="119" t="str">
        <f>Dashboard!J4</f>
        <v>HKD</v>
      </c>
      <c r="E33" s="120">
        <f>(C33-G19)/C9</f>
        <v>464.7111294111059</v>
      </c>
      <c r="F33" s="158">
        <f>C33/(Data!C28*Exchange_Rate*Data!C4/Common_Shares)</f>
        <v>0.81403835145011627</v>
      </c>
      <c r="G33" s="87"/>
      <c r="H33" s="6"/>
      <c r="I33" s="74"/>
    </row>
    <row r="34" spans="2:9" ht="15.5" customHeight="1" x14ac:dyDescent="0.3">
      <c r="B34" s="255" t="s">
        <v>225</v>
      </c>
      <c r="C34" s="254">
        <f>MAX(Asset_Model!D7,G19,(G12/(1+G34)^G4+G19)*Exchange_Rate)</f>
        <v>1.9838674407205463</v>
      </c>
      <c r="D34" s="208" t="str">
        <f>D33</f>
        <v>HKD</v>
      </c>
      <c r="E34" s="120">
        <f>(C34-G19)/C9</f>
        <v>733.81661849341697</v>
      </c>
      <c r="F34" s="158">
        <f>C34/(Data!C28*Exchange_Rate*Data!C4/Common_Shares)</f>
        <v>0.84535504276139206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 x14ac:dyDescent="0.3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3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2023-03-27T10:08:22Z</dcterms:modified>
  <cp:category/>
  <cp:contentStatus/>
</cp:coreProperties>
</file>