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3F793BB-91F2-4821-863F-13187993753C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</workbook>
</file>

<file path=xl/calcChain.xml><?xml version="1.0" encoding="utf-8"?>
<calcChain xmlns="http://schemas.openxmlformats.org/spreadsheetml/2006/main">
  <c r="C45" i="4" l="1"/>
  <c r="G12" i="7"/>
  <c r="H12" i="7" s="1"/>
  <c r="I12" i="7"/>
  <c r="G4" i="7"/>
  <c r="H4" i="7" s="1"/>
  <c r="C40" i="2"/>
  <c r="I20" i="7"/>
  <c r="I21" i="7"/>
  <c r="I5" i="7"/>
  <c r="H5" i="7"/>
  <c r="H21" i="7"/>
  <c r="H20" i="7"/>
  <c r="H9" i="7"/>
  <c r="G21" i="7"/>
  <c r="F33" i="2"/>
  <c r="C33" i="2"/>
  <c r="F20" i="7"/>
  <c r="G5" i="7"/>
  <c r="I4" i="7" l="1"/>
  <c r="I6" i="7" s="1"/>
  <c r="H6" i="7"/>
  <c r="H11" i="7" s="1"/>
  <c r="G6" i="7"/>
  <c r="H7" i="7"/>
  <c r="G20" i="7"/>
  <c r="G8" i="7" l="1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E6" i="4" s="1"/>
  <c r="F31" i="4"/>
  <c r="I18" i="7"/>
  <c r="I24" i="7" l="1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<sst xmlns="http://schemas.openxmlformats.org/spreadsheetml/2006/main" count="477" uniqueCount="410">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</sst>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 * #,##0.00_ ;_ * \-#,##0.00_ ;_ * &quot;-&quot;??_ ;_ @_ "/>
    <numFmt numFmtId="165" formatCode="yyyy\-mm\-dd"/>
    <numFmt numFmtId="166" formatCode="#,##0&quot;mm&quot;"/>
    <numFmt numFmtId="167" formatCode="#,##0.00&quot;x&quot;"/>
    <numFmt numFmtId="168" formatCode="0.00\x"/>
    <numFmt numFmtId="169" formatCode="&quot;Base Allocation &quot;0%"/>
    <numFmt numFmtId="170" formatCode="&quot;Increased Allocation &quot;0%"/>
    <numFmt numFmtId="171" formatCode="&quot;Last Allocation &quot;0%"/>
    <numFmt numFmtId="172" formatCode="[$$]#,##0&quot;m&quot;"/>
    <numFmt numFmtId="173" formatCode="&quot;Past &quot;0&quot; yrs Avg. NI&quot;"/>
    <numFmt numFmtId="174" formatCode="0.00&quot;x&quot;"/>
    <numFmt numFmtId="175" formatCode="&quot;Past &quot;0&quot; yrs Avg. NOPAT&quot;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  <numFmt numFmtId="186" formatCode="&quot;CI = &quot;0.00"/>
    <numFmt numFmtId="187" formatCode="&quot;ω = &quot;0.00"/>
    <numFmt numFmtId="188" formatCode="&quot;Total &quot;0.00%"/>
    <numFmt numFmtId="189" formatCode="#,##0_ ;[Red]\-#,##0\ "/>
  </numFmts>
  <fonts count="36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164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3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0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7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8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8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8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8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6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6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1" fontId="2" fillId="8" borderId="11" xfId="0" applyNumberFormat="1" applyFont="1" applyFill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8" fontId="1" fillId="0" borderId="9" xfId="0" applyNumberFormat="1" applyFont="1" applyBorder="1" applyAlignment="1">
      <alignment horizontal="center"/>
    </xf>
    <xf numFmtId="168" fontId="1" fillId="0" borderId="11" xfId="0" applyNumberFormat="1" applyFont="1" applyBorder="1" applyAlignment="1">
      <alignment horizontal="center"/>
    </xf>
    <xf numFmtId="167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8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4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4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6" fontId="1" fillId="0" borderId="9" xfId="0" applyNumberFormat="1" applyFont="1" applyBorder="1" applyAlignment="1">
      <alignment horizontal="center"/>
    </xf>
    <xf numFmtId="187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0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9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2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2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5" fontId="2" fillId="9" borderId="9" xfId="0" applyNumberFormat="1" applyFont="1" applyFill="1" applyBorder="1" applyAlignment="1">
      <alignment horizontal="center"/>
    </xf>
    <xf numFmtId="178" fontId="2" fillId="9" borderId="12" xfId="0" applyNumberFormat="1" applyFont="1" applyFill="1" applyBorder="1" applyAlignment="1">
      <alignment horizontal="center"/>
    </xf>
    <xf numFmtId="178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9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8" fontId="1" fillId="14" borderId="9" xfId="0" applyNumberFormat="1" applyFont="1" applyFill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" xfId="1" builtinId="3"/>
    <cellStyle name="Comma 2" xfId="4" xr:uid="{7DBEB12B-1E3D-4807-A57F-D92C83A1AC60}"/>
    <cellStyle name="Hyperlink" xfId="2" builtinId="8"/>
    <cellStyle name="Hyperlink 2" xfId="5" xr:uid="{64C14093-5BAB-467A-B722-04374D01926C}"/>
    <cellStyle name="Normal" xfId="0" builtinId="0"/>
    <cellStyle name="Normal 2" xfId="3" xr:uid="{6D385170-8EFF-4183-AA73-DBF4E0D058A7}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Normal="100" workbookViewId="0">
      <selection activeCell="C32" sqref="C32:D3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399</v>
      </c>
      <c r="D4" s="339"/>
      <c r="E4" s="6"/>
      <c r="G4" s="5" t="s">
        <v>5</v>
      </c>
      <c r="I4" s="221">
        <v>8.4</v>
      </c>
      <c r="J4" s="222" t="s">
        <v>6</v>
      </c>
      <c r="K4" s="92"/>
    </row>
    <row r="5" spans="1:12" ht="15.75" customHeight="1">
      <c r="B5" s="5" t="s">
        <v>7</v>
      </c>
      <c r="C5" s="340">
        <v>44984</v>
      </c>
      <c r="D5" s="339"/>
      <c r="E5" s="79" t="str">
        <f ca="1">IF(C5+30&gt;=TODAY(),"Patience Premium","")</f>
        <v/>
      </c>
      <c r="G5" s="5" t="s">
        <v>8</v>
      </c>
      <c r="I5" s="349">
        <v>243354000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2044.1736000000001</v>
      </c>
      <c r="J6" s="350"/>
      <c r="K6" s="91"/>
    </row>
    <row r="7" spans="1:12" ht="15.75" customHeight="1">
      <c r="B7" s="86" t="s">
        <v>10</v>
      </c>
      <c r="C7" s="218">
        <f>(Data!C42*Exchange_Rate)/I4</f>
        <v>2.3809523809523808E-2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23.950762164758814</v>
      </c>
      <c r="J9" s="166">
        <f>IF(I9="NNI","NNI",1/I9)</f>
        <v>4.1752324753631491E-2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0.73364822975738908</v>
      </c>
      <c r="J10" s="223">
        <f>I4/(Data!C7*Data!C4/Common_Shares*Exchange_Rate)</f>
        <v>0.39933548716550193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8.9260129791874565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8.4</v>
      </c>
      <c r="C16" s="373">
        <v>0.2</v>
      </c>
      <c r="D16" s="238">
        <f ca="1">I37/B16-(1+C16)</f>
        <v>-7.2532977098815898E-3</v>
      </c>
      <c r="E16" s="354" t="s">
        <v>21</v>
      </c>
      <c r="F16" s="351">
        <f>(Val_Models!G16)*Exchange_Rate</f>
        <v>6.391827543414121</v>
      </c>
      <c r="G16" s="354" t="s">
        <v>22</v>
      </c>
      <c r="H16" s="239">
        <f>B16-$F$16</f>
        <v>2.0081724565858794</v>
      </c>
      <c r="I16" s="367">
        <v>0.2</v>
      </c>
      <c r="J16" s="166">
        <f>I16/B16</f>
        <v>2.3809523809523808E-2</v>
      </c>
    </row>
    <row r="17" spans="1:10" ht="15.75" customHeight="1">
      <c r="B17" s="116">
        <f ca="1">MIN((I37+I38)/2,I37/(1+C16), IF(J20=0,E14,I37/(1+C16)))</f>
        <v>8.3492269160308297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1.9573993726167087</v>
      </c>
      <c r="I17" s="368"/>
      <c r="J17" s="149">
        <f ca="1">I16/B17</f>
        <v>2.395431361626937E-2</v>
      </c>
    </row>
    <row r="18" spans="1:10" ht="15.75" customHeight="1">
      <c r="B18" s="129">
        <f>C37</f>
        <v>8.1999999999999993</v>
      </c>
      <c r="C18" s="375"/>
      <c r="D18" s="237">
        <f ca="1">I37/B18-(1+C16)</f>
        <v>2.1838085272804397E-2</v>
      </c>
      <c r="E18" s="356"/>
      <c r="F18" s="353"/>
      <c r="G18" s="356"/>
      <c r="H18" s="98">
        <f>B18-$F$16</f>
        <v>1.8081724565858783</v>
      </c>
      <c r="I18" s="369"/>
      <c r="J18" s="158">
        <f>I16/B18</f>
        <v>2.4390243902439029E-2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401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402</v>
      </c>
      <c r="D22" s="337"/>
      <c r="E22" s="337"/>
      <c r="F22" s="337"/>
      <c r="G22" s="358" t="s">
        <v>403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404</v>
      </c>
      <c r="D23" s="347"/>
      <c r="E23" s="347"/>
      <c r="F23" s="347"/>
      <c r="G23" s="346" t="s">
        <v>405</v>
      </c>
      <c r="H23" s="346"/>
      <c r="I23" s="347"/>
      <c r="J23" s="347"/>
    </row>
    <row r="24" spans="1:10" ht="52.5" customHeight="1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0.19878787878787879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0.19878787878787879</v>
      </c>
      <c r="J29" s="370"/>
    </row>
    <row r="30" spans="1:10" ht="15.75" customHeight="1">
      <c r="B30" s="18" t="s">
        <v>32</v>
      </c>
      <c r="C30" s="349">
        <v>16000</v>
      </c>
      <c r="D30" s="339"/>
      <c r="E30" s="349"/>
      <c r="F30" s="339"/>
      <c r="G30" s="349"/>
      <c r="H30" s="349"/>
      <c r="I30" s="376">
        <f>C30+E30+G30</f>
        <v>16000</v>
      </c>
      <c r="J30" s="376"/>
    </row>
    <row r="31" spans="1:10" ht="15.75" customHeight="1">
      <c r="B31" s="18" t="s">
        <v>33</v>
      </c>
      <c r="C31" s="363">
        <v>8.1999999999999993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1995.5027999999998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131200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131200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8.1999999999999993</v>
      </c>
      <c r="F34" s="365"/>
      <c r="G34" s="78"/>
      <c r="H34" s="78"/>
      <c r="I34" s="332">
        <f>IF(I33=0,"",I33/I30)</f>
        <v>8.1999999999999993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1995.5027999999998</v>
      </c>
      <c r="F35" s="377"/>
      <c r="G35" s="230"/>
      <c r="H35" s="230"/>
      <c r="I35" s="331">
        <f>IF(I34="","",I34*$I$5/1000000)</f>
        <v>1995.5027999999998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8.1999999999999993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10.019072299236996</v>
      </c>
      <c r="J37" s="325"/>
    </row>
    <row r="38" spans="2:11" ht="15.75" customHeight="1">
      <c r="B38" s="87" t="s">
        <v>280</v>
      </c>
      <c r="C38" s="326">
        <f>E34</f>
        <v>8.1999999999999993</v>
      </c>
      <c r="D38" s="327"/>
      <c r="E38" s="6"/>
      <c r="F38" s="6"/>
      <c r="G38" s="323" t="s">
        <v>279</v>
      </c>
      <c r="H38" s="323"/>
      <c r="I38" s="324">
        <f ca="1">Val_Models!C47</f>
        <v>7.1408103833499652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0.22183808527280435</v>
      </c>
      <c r="F47" s="171">
        <f ca="1">I37/C38-1</f>
        <v>0.22183808527280435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-0.12916946544512609</v>
      </c>
      <c r="F48" s="171">
        <f ca="1">Val_Models!C47/C38-1</f>
        <v>-0.12916946544512609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0.71848245331205107</v>
      </c>
      <c r="F50" s="171">
        <f ca="1">IF(F47&lt;=0,0,AVERAGE(F41:F44,0.5*(1+F47+F48-C16)))</f>
        <v>0.71848245331205107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1.7174189310789232</v>
      </c>
      <c r="F51" s="234">
        <f ca="1">IF(F48&gt;=0,100,F47/ABS(F48))</f>
        <v>1.7174189310789232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2.2538961215119007</v>
      </c>
      <c r="F52" s="232">
        <f ca="1">MAX(C16*2.5/F47,1)+IF(F47&lt;C16,100,0)+IF(D18&lt;0,100,0)+IF(J20=1,2/(1+F47+F48-C16),0)</f>
        <v>2.2538961215119007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0.24604660145149354</v>
      </c>
      <c r="F53" s="217">
        <f ca="1">MIN(MAX(F50-ABS((1-F50)/F51),0)/F52,H53)</f>
        <v>0.24604660145149354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391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396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 ht="14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4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431707.60000000009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>
      <c r="B4" s="118" t="s">
        <v>407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>
      <c r="B5" s="118" t="s">
        <v>408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>
      <c r="B20" s="318" t="s">
        <v>397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>
      <c r="B21" s="14" t="s">
        <v>395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dxfId="8" priority="3">
      <formula>LEN(TRIM(H19))=0</formula>
    </cfRule>
    <cfRule type="containsBlanks" priority="4">
      <formula>LEN(TRIM(H19))=0</formula>
    </cfRule>
  </conditionalFormatting>
  <conditionalFormatting sqref="H24:I24">
    <cfRule type="containsBlanks" dxfId="7" priority="12">
      <formula>LEN(TRIM(H24))=0</formula>
    </cfRule>
    <cfRule type="containsBlanks" priority="13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6" zoomScaleNormal="100" zoomScalePageLayoutView="80" workbookViewId="0">
      <selection activeCell="C46" sqref="C4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3.8639898887291722</v>
      </c>
      <c r="F23" s="98">
        <f ca="1">SUM(D12:F12)+E23+$G$16</f>
        <v>10.445266990395091</v>
      </c>
      <c r="G23" s="272">
        <f ca="1">F23*Exchange_Rate</f>
        <v>10.445266990395091</v>
      </c>
      <c r="I23" s="43" t="s">
        <v>392</v>
      </c>
    </row>
    <row r="24" spans="1:9" ht="15.5" customHeight="1">
      <c r="C24" s="6"/>
      <c r="D24" s="6"/>
      <c r="E24" s="391" t="s">
        <v>333</v>
      </c>
      <c r="F24" s="392"/>
      <c r="G24" s="143">
        <f ca="1">MIN(G22,G23)+ABS(G22-G23)*Qualitative_Analysis!$E$64</f>
        <v>9.8402207165345175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>
      <c r="B35" s="141" t="s">
        <v>305</v>
      </c>
      <c r="C35" s="273">
        <f>Dashboard!C31</f>
        <v>8.1999999999999993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0.65599999999999992</v>
      </c>
      <c r="E36" s="278">
        <f ca="1">IF(E35="","", $D$36)</f>
        <v>0.65599999999999992</v>
      </c>
      <c r="F36" s="278" t="str">
        <f>IF(F35="","", $D$36)</f>
        <v/>
      </c>
      <c r="G36" s="278">
        <f ca="1">C35*G35</f>
        <v>0.65599999999999992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0.47173301930040729</v>
      </c>
      <c r="D37" s="245">
        <f ca="1">IF(D36="","",D34-D36)</f>
        <v>-0.81381735516983467</v>
      </c>
      <c r="E37" s="245">
        <f ca="1">IF(E36="","",E34-E36)</f>
        <v>-0.26458329167168171</v>
      </c>
      <c r="F37" s="245" t="str">
        <f>IF(F36="","",F34-F36)</f>
        <v/>
      </c>
      <c r="G37" s="275">
        <f ca="1">G34-G36</f>
        <v>-0.25037379744076632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-0.75353458812021723</v>
      </c>
      <c r="E39" s="279">
        <f ca="1">IF(E37="","",E37/E38)</f>
        <v>-0.22683752715336222</v>
      </c>
      <c r="F39" s="279" t="str">
        <f>IF(F37="","",F37/F38)</f>
        <v/>
      </c>
      <c r="G39" s="279">
        <f ca="1">G37/G38</f>
        <v>-0.32675584738553043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23"/>
      <c r="G40" s="280">
        <f>Asset_Model!D7</f>
        <v>7.3381497735808736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6.0310218109217635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8.9260129791874565</v>
      </c>
      <c r="D44" s="262" t="str">
        <f>Dashboard!J4</f>
        <v>HKD</v>
      </c>
      <c r="E44" s="263">
        <f ca="1">(C44-G16)/C9</f>
        <v>-78.779313708323613</v>
      </c>
      <c r="F44" s="263">
        <f ca="1">C44/(Data!C29*Exchange_Rate*Data!C4/Common_Shares)</f>
        <v>0.77958971678242339</v>
      </c>
      <c r="G44" s="263">
        <f ca="1">C44/(Data!C7*Data!C4*Exchange_Rate/Common_Shares)</f>
        <v>0.42434211208207334</v>
      </c>
      <c r="I44" s="43"/>
    </row>
    <row r="45" spans="1:9" ht="15.75" customHeight="1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10.019072299236996</v>
      </c>
      <c r="D46" s="256" t="str">
        <f>D45</f>
        <v>HKD</v>
      </c>
      <c r="E46" s="223">
        <f ca="1">(C46-G16)/C9</f>
        <v>-112.75885674429404</v>
      </c>
      <c r="F46" s="223">
        <f ca="1">C46/(Asset_Model!I3*Exchange_Rate*Data!C4/Common_Shares)</f>
        <v>0.87505650668410906</v>
      </c>
      <c r="G46" s="223">
        <f ca="1">C46/(Data!C7*Data!C4*Exchange_Rate/Common_Shares)</f>
        <v>0.47630608542407038</v>
      </c>
    </row>
    <row r="47" spans="1:9" ht="15.75" customHeight="1">
      <c r="B47" s="84" t="s">
        <v>279</v>
      </c>
      <c r="C47" s="259">
        <f ca="1">MAX(G41,C44)/(1+Dashboard!I14)</f>
        <v>7.1408103833499652</v>
      </c>
      <c r="D47" s="260" t="str">
        <f>D45</f>
        <v>HKD</v>
      </c>
      <c r="E47" s="224">
        <f ca="1">(C47-G16)/C9</f>
        <v>-23.283360908216707</v>
      </c>
      <c r="F47" s="224">
        <f ca="1">C47/(Asset_Model!I3*Exchange_Rate*Data!C4/Common_Shares)</f>
        <v>0.62367177342593871</v>
      </c>
      <c r="G47" s="224">
        <f ca="1">C47/(Data!C7*Data!C4*Exchange_Rate/Common_Shares)</f>
        <v>0.33947368966565866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4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4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3.1020408163265305</v>
      </c>
      <c r="E54" s="175" t="s">
        <v>406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