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0199BEB0-1556-4457-A48A-2F7DFAF88C1D}" xr6:coauthVersionLast="47" xr6:coauthVersionMax="47" xr10:uidLastSave="{00000000-0000-0000-0000-000000000000}"/>
  <bookViews>
    <workbookView xWindow="34620" yWindow="7635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1" i="7" l="1"/>
  <c r="H21" i="7" s="1"/>
  <c r="I21" i="7" s="1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E7" i="7"/>
  <c r="D7" i="7"/>
  <c r="C13" i="7"/>
  <c r="D13" i="7"/>
  <c r="E13" i="7"/>
  <c r="F13" i="7"/>
  <c r="H13" i="7" s="1"/>
  <c r="I15" i="3"/>
  <c r="C37" i="1"/>
  <c r="B18" i="1" s="1"/>
  <c r="J20" i="1"/>
  <c r="F42" i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G10" i="7" l="1"/>
  <c r="H7" i="7"/>
  <c r="I13" i="7"/>
  <c r="H12" i="7"/>
  <c r="M37" i="2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I7" i="7" l="1"/>
  <c r="H8" i="7"/>
  <c r="D14" i="7"/>
  <c r="D15" i="7"/>
  <c r="E15" i="7"/>
  <c r="G8" i="7"/>
  <c r="G20" i="7" s="1"/>
  <c r="I12" i="7" l="1"/>
  <c r="I20" i="7"/>
  <c r="B16" i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8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30" i="4" s="1"/>
  <c r="F30" i="4" s="1"/>
  <c r="E62" i="3"/>
  <c r="C15" i="4" s="1"/>
  <c r="D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D17" i="4" s="1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7" i="4"/>
  <c r="F31" i="4"/>
  <c r="I19" i="7"/>
  <c r="E6" i="4" l="1"/>
  <c r="I18" i="7"/>
  <c r="F4" i="4"/>
  <c r="D12" i="4"/>
  <c r="D38" i="4"/>
  <c r="D39" i="4" s="1"/>
  <c r="E5" i="4"/>
  <c r="H25" i="7"/>
  <c r="E8" i="4"/>
  <c r="E28" i="4" s="1"/>
  <c r="E32" i="4" s="1"/>
  <c r="F5" i="4" l="1"/>
  <c r="F10" i="4"/>
  <c r="E33" i="4"/>
  <c r="E34" i="4" s="1"/>
  <c r="E35" i="4"/>
  <c r="E38" i="4"/>
  <c r="E9" i="4"/>
  <c r="E12" i="4" s="1"/>
  <c r="F11" i="4" l="1"/>
  <c r="F12" i="4" s="1"/>
  <c r="F35" i="4"/>
  <c r="F36" i="4" s="1"/>
  <c r="F37" i="4" s="1"/>
  <c r="F38" i="4" l="1"/>
  <c r="F39" i="4" s="1"/>
  <c r="E36" i="4" l="1"/>
  <c r="E37" i="4" l="1"/>
  <c r="E39" i="4" s="1"/>
  <c r="J18" i="1" l="1"/>
  <c r="H18" i="1"/>
  <c r="I23" i="7" l="1"/>
  <c r="I25" i="7" l="1"/>
  <c r="F7" i="4"/>
  <c r="F6" i="4" l="1"/>
  <c r="F8" i="4"/>
  <c r="F28" i="4" l="1"/>
  <c r="F32" i="4" s="1"/>
  <c r="F33" i="4" s="1"/>
  <c r="F34" i="4" s="1"/>
  <c r="F9" i="4"/>
  <c r="G11" i="4" s="1"/>
  <c r="G9" i="4"/>
  <c r="E22" i="4" l="1"/>
  <c r="F22" i="4" s="1"/>
  <c r="G22" i="4" s="1"/>
  <c r="E23" i="4"/>
  <c r="F23" i="4" s="1"/>
  <c r="G23" i="4" s="1"/>
  <c r="G38" i="4"/>
  <c r="G34" i="4"/>
  <c r="G37" i="4" s="1"/>
  <c r="G39" i="4" l="1"/>
  <c r="G41" i="4" s="1"/>
  <c r="G24" i="4"/>
  <c r="C44" i="4" s="1"/>
  <c r="C47" i="4" s="1"/>
  <c r="F47" i="4" l="1"/>
  <c r="E47" i="4"/>
  <c r="I38" i="1"/>
  <c r="F48" i="1"/>
  <c r="E48" i="1"/>
  <c r="G47" i="4"/>
  <c r="G44" i="4"/>
  <c r="C46" i="4"/>
  <c r="E44" i="4"/>
  <c r="F44" i="4"/>
  <c r="E14" i="1"/>
  <c r="G46" i="4" l="1"/>
  <c r="I37" i="1"/>
  <c r="F46" i="4"/>
  <c r="E46" i="4"/>
  <c r="B17" i="1" l="1"/>
  <c r="D17" i="1" s="1"/>
  <c r="D18" i="1"/>
  <c r="F47" i="1"/>
  <c r="E47" i="1"/>
  <c r="D16" i="1"/>
  <c r="F52" i="1" l="1"/>
  <c r="F50" i="1"/>
  <c r="F51" i="1"/>
  <c r="E52" i="1"/>
  <c r="E50" i="1"/>
  <c r="E51" i="1"/>
  <c r="E37" i="1"/>
  <c r="H17" i="1"/>
  <c r="J17" i="1"/>
  <c r="F53" i="1" l="1"/>
  <c r="E53" i="1"/>
</calcChain>
</file>

<file path=xl/sharedStrings.xml><?xml version="1.0" encoding="utf-8"?>
<sst xmlns="http://schemas.openxmlformats.org/spreadsheetml/2006/main" count="476" uniqueCount="408">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</sst>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F53" sqref="F5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395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396</v>
      </c>
      <c r="D4" s="322"/>
      <c r="E4" s="6"/>
      <c r="G4" s="5" t="s">
        <v>5</v>
      </c>
      <c r="I4" s="221">
        <v>2.5</v>
      </c>
      <c r="J4" s="222" t="s">
        <v>6</v>
      </c>
      <c r="K4" s="92"/>
    </row>
    <row r="5" spans="1:12" ht="15.75" customHeight="1">
      <c r="B5" s="5" t="s">
        <v>7</v>
      </c>
      <c r="C5" s="354">
        <v>44771</v>
      </c>
      <c r="D5" s="322"/>
      <c r="E5" s="79" t="str">
        <f ca="1">IF(C5+30&gt;=TODAY(),"Patience Premium","")</f>
        <v/>
      </c>
      <c r="G5" s="5" t="s">
        <v>8</v>
      </c>
      <c r="I5" s="321">
        <v>1826710016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4566.7750400000004</v>
      </c>
      <c r="J6" s="361"/>
      <c r="K6" s="91"/>
    </row>
    <row r="7" spans="1:12" ht="15.75" customHeight="1">
      <c r="B7" s="86" t="s">
        <v>10</v>
      </c>
      <c r="C7" s="218">
        <f>(Data!C42*Exchange_Rate)/I4</f>
        <v>3.2327189035350423E-2</v>
      </c>
      <c r="D7" s="218">
        <f>(Data!C43*Exchange_Rate)/I4</f>
        <v>1.2754295863016716E-2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406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1.016148826520588</v>
      </c>
      <c r="J10" s="223">
        <f>I4/(Data!C7*Data!C4/Common_Shares*Exchange_Rate)</f>
        <v>7.8125562020244868</v>
      </c>
    </row>
    <row r="11" spans="1:12" ht="15.75" customHeight="1" thickBot="1">
      <c r="B11" s="124" t="s">
        <v>227</v>
      </c>
      <c r="C11" s="331">
        <f ca="1">C12-D10</f>
        <v>2.1850000000000001E-2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0.06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1.960058740220908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2.5</v>
      </c>
      <c r="C16" s="347">
        <v>0.2</v>
      </c>
      <c r="D16" s="238">
        <f ca="1">I37/B16-(1+C16)</f>
        <v>-8.9792328627417373E-2</v>
      </c>
      <c r="E16" s="341" t="s">
        <v>21</v>
      </c>
      <c r="F16" s="362">
        <f>(Val_Models!G16)*Exchange_Rate</f>
        <v>1.7329200378129421</v>
      </c>
      <c r="G16" s="341" t="s">
        <v>22</v>
      </c>
      <c r="H16" s="239">
        <f>B16-$F$16</f>
        <v>0.76707996218705787</v>
      </c>
      <c r="I16" s="336">
        <v>3.4000000000000002E-2</v>
      </c>
      <c r="J16" s="166">
        <f>I16/B16</f>
        <v>1.3600000000000001E-2</v>
      </c>
    </row>
    <row r="17" spans="1:10" ht="15.75" customHeight="1">
      <c r="B17" s="116">
        <f ca="1">MIN((I37+I38)/2,I37/(1+C16), IF(J20=0,E14,I37/(1+C16)))</f>
        <v>2.1717830853040914</v>
      </c>
      <c r="C17" s="348"/>
      <c r="D17" s="149">
        <f ca="1">I37/B17-(1+C16)</f>
        <v>7.7990973045464429E-2</v>
      </c>
      <c r="E17" s="342"/>
      <c r="F17" s="363"/>
      <c r="G17" s="342"/>
      <c r="H17" s="236">
        <f ca="1">B17-$F$16</f>
        <v>0.43886304749114924</v>
      </c>
      <c r="I17" s="337"/>
      <c r="J17" s="149">
        <f ca="1">I16/B17</f>
        <v>1.5655338799749122E-2</v>
      </c>
    </row>
    <row r="18" spans="1:10" ht="15.75" customHeight="1">
      <c r="B18" s="129">
        <f>C37</f>
        <v>1.89</v>
      </c>
      <c r="C18" s="349"/>
      <c r="D18" s="237">
        <f ca="1">I37/B18-(1+C16)</f>
        <v>0.26852866583674961</v>
      </c>
      <c r="E18" s="343"/>
      <c r="F18" s="364"/>
      <c r="G18" s="343"/>
      <c r="H18" s="98">
        <f>B18-$F$16</f>
        <v>0.15707996218705778</v>
      </c>
      <c r="I18" s="338"/>
      <c r="J18" s="158">
        <f>I16/B18</f>
        <v>1.7989417989417993E-2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398</v>
      </c>
      <c r="D22" s="352"/>
      <c r="E22" s="352"/>
      <c r="F22" s="352"/>
      <c r="G22" s="366" t="s">
        <v>400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399</v>
      </c>
      <c r="D23" s="340"/>
      <c r="E23" s="340"/>
      <c r="F23" s="340"/>
      <c r="G23" s="339" t="s">
        <v>401</v>
      </c>
      <c r="H23" s="339"/>
      <c r="I23" s="340"/>
      <c r="J23" s="340"/>
    </row>
    <row r="24" spans="1:10" ht="52.5" customHeight="1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0.17181818181818181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0.17181818181818181</v>
      </c>
      <c r="J29" s="344"/>
    </row>
    <row r="30" spans="1:10" ht="15.75" customHeight="1">
      <c r="B30" s="18" t="s">
        <v>32</v>
      </c>
      <c r="C30" s="321">
        <v>60000</v>
      </c>
      <c r="D30" s="322"/>
      <c r="E30" s="321"/>
      <c r="F30" s="322"/>
      <c r="G30" s="321"/>
      <c r="H30" s="321"/>
      <c r="I30" s="350">
        <f>C30+E30+G30</f>
        <v>60000</v>
      </c>
      <c r="J30" s="350"/>
    </row>
    <row r="31" spans="1:10" ht="15.75" customHeight="1">
      <c r="B31" s="18" t="s">
        <v>33</v>
      </c>
      <c r="C31" s="323">
        <v>1.89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3452.4819302399997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113400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113400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1.89</v>
      </c>
      <c r="F34" s="329"/>
      <c r="G34" s="78"/>
      <c r="H34" s="78"/>
      <c r="I34" s="328">
        <f>IF(I33=0,"",I33/I30)</f>
        <v>1.89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3452.4819302399997</v>
      </c>
      <c r="F35" s="325"/>
      <c r="G35" s="230"/>
      <c r="H35" s="230"/>
      <c r="I35" s="324">
        <f>IF(I34="","",I34*$I$5/1000000)</f>
        <v>3452.4819302399997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1.89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2.7755191784314563</v>
      </c>
      <c r="J37" s="373"/>
    </row>
    <row r="38" spans="2:11" ht="15.75" customHeight="1">
      <c r="B38" s="87" t="s">
        <v>280</v>
      </c>
      <c r="C38" s="374">
        <f>E34</f>
        <v>1.89</v>
      </c>
      <c r="D38" s="375"/>
      <c r="E38" s="6"/>
      <c r="F38" s="6"/>
      <c r="G38" s="371" t="s">
        <v>279</v>
      </c>
      <c r="H38" s="371"/>
      <c r="I38" s="372">
        <f ca="1">Val_Models!C47</f>
        <v>1.5680469921767264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0.5228401360544217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0.46852866583674957</v>
      </c>
      <c r="F47" s="171">
        <f ca="1">I37/C38-1</f>
        <v>0.46852866583674957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-0.17034550678480076</v>
      </c>
      <c r="F48" s="171">
        <f ca="1">Val_Models!C47/C38-1</f>
        <v>-0.17034550678480076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0.64026041622124463</v>
      </c>
      <c r="F50" s="171">
        <f ca="1">IF(F47&lt;=0,0,AVERAGE(F41:F44,0.5*(1+F47+F48-C16)))</f>
        <v>0.64026041622124463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2.750460958319533</v>
      </c>
      <c r="F51" s="234">
        <f ca="1">IF(F48&gt;=0,100,F47/ABS(F48))</f>
        <v>2.750460958319533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2.8883603921046426</v>
      </c>
      <c r="F52" s="232">
        <f ca="1">MAX(C16*2.5/F47,1)+IF(F47&lt;C16,100,0)+IF(D18&lt;0,100,0)+IF(J20=1,2/(1+F47+F48-C16),0)</f>
        <v>2.8883603921046426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0.17638655726768057</v>
      </c>
      <c r="F53" s="217">
        <f ca="1">MIN(MAX(F50-ABS((1-F50)/F51),0)/F52,H53)</f>
        <v>0.17638655726768057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389</v>
      </c>
    </row>
    <row r="65" spans="2:2" ht="15.75" customHeight="1">
      <c r="B65" s="3" t="s">
        <v>391</v>
      </c>
    </row>
    <row r="66" spans="2:2" ht="15.75" customHeight="1">
      <c r="B66" s="3" t="s">
        <v>390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393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256</v>
      </c>
      <c r="I6" s="184">
        <f>C28/I28</f>
        <v>8.8556808649454748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257</v>
      </c>
      <c r="I7" s="184">
        <f>C25/I28</f>
        <v>0.42123683474694751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8.4212321744803802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407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 ht="14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343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342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381</v>
      </c>
      <c r="I24" s="312">
        <f>I11+I12+I13</f>
        <v>92211</v>
      </c>
    </row>
    <row r="25" spans="2:10" ht="15" customHeight="1">
      <c r="B25" s="41" t="s">
        <v>377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384</v>
      </c>
      <c r="I25" s="184">
        <f>E28/I28</f>
        <v>8.4131911175319232</v>
      </c>
    </row>
    <row r="26" spans="2:10" ht="15" customHeight="1">
      <c r="B26" s="41" t="s">
        <v>375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263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 ht="14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382</v>
      </c>
      <c r="I44" s="312">
        <f>I30+I31+I32</f>
        <v>2056</v>
      </c>
    </row>
    <row r="45" spans="2:10" ht="15" customHeight="1">
      <c r="B45" s="41" t="s">
        <v>378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>
      <c r="B46" s="41" t="s">
        <v>379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260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264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>
      <c r="B49" s="5" t="s">
        <v>370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261</v>
      </c>
      <c r="I49" s="130">
        <f>I28+I48</f>
        <v>218372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94267</v>
      </c>
      <c r="E56" s="381"/>
      <c r="F56" s="5"/>
      <c r="G56" s="5"/>
      <c r="H56" s="6" t="s">
        <v>262</v>
      </c>
      <c r="I56" s="149">
        <f>D56/I3</f>
        <v>2.1259268948346472E-2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301911.04000000004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I8" sqref="I8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>
      <c r="B4" s="118" t="s">
        <v>403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>
      <c r="B5" s="118" t="s">
        <v>404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402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>
      <c r="B8" s="14" t="s">
        <v>348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>
      <c r="B11" s="5" t="s">
        <v>347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>
      <c r="B20" s="14" t="s">
        <v>336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>
      <c r="B21" s="318" t="s">
        <v>394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>
      <c r="B22" s="14" t="s">
        <v>392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>
      <c r="B23" s="85" t="s">
        <v>339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>
      <c r="B24" s="14" t="s">
        <v>333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dxfId="8" priority="3">
      <formula>LEN(TRIM(H20))=0</formula>
    </cfRule>
    <cfRule type="containsBlanks" priority="4">
      <formula>LEN(TRIM(H20))=0</formula>
    </cfRule>
  </conditionalFormatting>
  <conditionalFormatting sqref="H25:I25">
    <cfRule type="containsBlanks" dxfId="7" priority="12">
      <formula>LEN(TRIM(H25))=0</formula>
    </cfRule>
    <cfRule type="containsBlanks" priority="13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>
      <c r="B105" t="s">
        <v>361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>
      <c r="B106" t="s">
        <v>362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>
      <c r="B107" t="s">
        <v>363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4" sqref="C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274</v>
      </c>
      <c r="G16" s="264">
        <f>(G15+MIN(D4,0))*Data!C4/Common_Shares</f>
        <v>1.7329200378129421</v>
      </c>
    </row>
    <row r="17" spans="1:9" ht="15.75" customHeight="1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0.33822030207324516</v>
      </c>
      <c r="F22" s="239">
        <f ca="1">SUM(D12:F12)+E22+$G$16</f>
        <v>2.022628823364176</v>
      </c>
      <c r="G22" s="271">
        <f ca="1">F22*Exchange_Rate</f>
        <v>2.022628823364176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0.67644060414649032</v>
      </c>
      <c r="F23" s="98">
        <f ca="1">SUM(D12:F12)+E23+$G$16</f>
        <v>2.3608491254374213</v>
      </c>
      <c r="G23" s="272">
        <f ca="1">F23*Exchange_Rate</f>
        <v>2.3608491254374213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2.199463972116519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316</v>
      </c>
    </row>
    <row r="29" spans="1:9" ht="15.75" customHeight="1">
      <c r="B29" s="141" t="s">
        <v>298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>
      <c r="B30" s="141" t="s">
        <v>307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>
      <c r="B33" s="141" t="s">
        <v>299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>
      <c r="B35" s="141" t="s">
        <v>305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0.27336180786940617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0.93689867303861152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-5.2104680032182493E-2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71"/>
      <c r="G40" s="280">
        <f>Asset_Model!D7</f>
        <v>1.8488378398424457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1.5344494390731551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1.960058740220908</v>
      </c>
      <c r="D44" s="262" t="str">
        <f>Dashboard!J4</f>
        <v>HKD</v>
      </c>
      <c r="E44" s="263">
        <f ca="1">(C44-G16)/C9</f>
        <v>-4.26237408273622</v>
      </c>
      <c r="F44" s="263">
        <f ca="1">C44/(Data!C29*Exchange_Rate*Data!C4/Common_Shares)</f>
        <v>0.79668455551475903</v>
      </c>
      <c r="G44" s="263">
        <f ca="1">C44/(Data!C7*Data!C4*Exchange_Rate/Common_Shares)</f>
        <v>6.125227626898063</v>
      </c>
      <c r="I44" s="43"/>
    </row>
    <row r="45" spans="1:9" ht="15.75" customHeight="1">
      <c r="B45" s="6" t="s">
        <v>313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405</v>
      </c>
    </row>
    <row r="46" spans="1:9" ht="15.75" customHeight="1">
      <c r="B46" s="257" t="s">
        <v>314</v>
      </c>
      <c r="C46" s="258">
        <f ca="1">MIN(C45,C44)+ABS(C45-C44)*Qualitative_Analysis!E64</f>
        <v>2.7755191784314563</v>
      </c>
      <c r="D46" s="256" t="str">
        <f>D45</f>
        <v>HKD</v>
      </c>
      <c r="E46" s="223">
        <f ca="1">(C46-G16)/C9</f>
        <v>-19.564906854462858</v>
      </c>
      <c r="F46" s="223">
        <f ca="1">C46/(Asset_Model!I3*Exchange_Rate*Data!C4/Common_Shares)</f>
        <v>1.1434113074045213</v>
      </c>
      <c r="G46" s="223">
        <f ca="1">C46/(Data!C7*Data!C4*Exchange_Rate/Common_Shares)</f>
        <v>8.6735598285170337</v>
      </c>
    </row>
    <row r="47" spans="1:9" ht="15.75" customHeight="1">
      <c r="B47" s="84" t="s">
        <v>279</v>
      </c>
      <c r="C47" s="259">
        <f ca="1">MAX(G41,C44)/(1+Dashboard!I14)</f>
        <v>1.5680469921767264</v>
      </c>
      <c r="D47" s="260" t="str">
        <f>D45</f>
        <v>HKD</v>
      </c>
      <c r="E47" s="224">
        <f ca="1">(C47-G16)/C9</f>
        <v>3.0939271432456072</v>
      </c>
      <c r="F47" s="224">
        <f ca="1">C47/(Asset_Model!I3*Exchange_Rate*Data!C4/Common_Shares)</f>
        <v>0.64597739959042977</v>
      </c>
      <c r="G47" s="224">
        <f ca="1">C47/(Data!C7*Data!C4*Exchange_Rate/Common_Shares)</f>
        <v>4.9001821015184506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C57" sqref="C5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2.8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2</v>
      </c>
      <c r="E16" s="175" t="s">
        <v>127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/>
    </row>
    <row r="20" spans="2:7" ht="15" customHeight="1">
      <c r="B20" s="32" t="s">
        <v>140</v>
      </c>
      <c r="D20" s="63">
        <f t="shared" si="1"/>
        <v>3</v>
      </c>
      <c r="E20" s="175" t="s">
        <v>128</v>
      </c>
      <c r="F20" s="6"/>
      <c r="G20" s="119"/>
    </row>
    <row r="21" spans="2:7" ht="15" customHeight="1">
      <c r="B21" s="32" t="s">
        <v>141</v>
      </c>
      <c r="D21" s="63">
        <f t="shared" si="1"/>
        <v>1</v>
      </c>
      <c r="E21" s="175" t="s">
        <v>135</v>
      </c>
      <c r="F21" s="6"/>
      <c r="G21" s="119"/>
    </row>
    <row r="22" spans="2:7" ht="15" customHeight="1">
      <c r="B22" s="32" t="s">
        <v>142</v>
      </c>
      <c r="D22" s="63">
        <f t="shared" si="1"/>
        <v>2</v>
      </c>
      <c r="E22" s="175" t="s">
        <v>127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0.75</v>
      </c>
      <c r="E42" s="18" t="str">
        <f>IF(D42&gt;80%,"Very High",IF(D42&lt;=20%,"Very Low",IF(D42&lt;=40%,"Low",IF(D42&lt;=60%,"Medium","High"))))</f>
        <v>High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3</v>
      </c>
      <c r="E44" s="175" t="s">
        <v>128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3</v>
      </c>
      <c r="E46" s="175" t="s">
        <v>128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2</v>
      </c>
      <c r="E48" s="175" t="s">
        <v>127</v>
      </c>
      <c r="F48" s="6"/>
      <c r="G48" s="119"/>
    </row>
    <row r="49" spans="2:8" ht="15" customHeight="1">
      <c r="B49" s="1" t="s">
        <v>159</v>
      </c>
      <c r="D49" s="64">
        <f>SUM(D50:D54)/(5*4)</f>
        <v>0.39319727891156464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2</v>
      </c>
      <c r="E53" s="175" t="s">
        <v>127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0.75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4</v>
      </c>
      <c r="E56" s="175" t="s">
        <v>137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3</v>
      </c>
      <c r="E59" s="175" t="s">
        <v>128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3</v>
      </c>
      <c r="E60" s="175" t="s">
        <v>128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0.54136054421768709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2.0913605442176868</v>
      </c>
      <c r="E64" s="217">
        <f>AVERAGE(AVERAGE(D12:D16)/4,AVERAGE(D18:D22)/4,AVERAGE(D24:D28)/4,D62)</f>
        <v>0.5228401360544217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2023-09-14T02:18:42Z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