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7A696F7-BD28-4FE7-ABD5-B5FCA47BC85C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8" i="7" s="1"/>
  <c r="G22" i="7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<sst xmlns="http://schemas.openxmlformats.org/spreadsheetml/2006/main" count="479" uniqueCount="411">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</sst>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389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407</v>
      </c>
      <c r="D4" s="339"/>
      <c r="E4" s="6"/>
      <c r="G4" s="5" t="s">
        <v>5</v>
      </c>
      <c r="I4" s="221">
        <v>1.48</v>
      </c>
      <c r="J4" s="222" t="s">
        <v>6</v>
      </c>
      <c r="K4" s="92"/>
    </row>
    <row r="5" spans="1:12" ht="15.75" customHeight="1">
      <c r="B5" s="5" t="s">
        <v>7</v>
      </c>
      <c r="C5" s="340">
        <v>44931</v>
      </c>
      <c r="D5" s="339"/>
      <c r="E5" s="79" t="str">
        <f ca="1">IF(C5+30&gt;=TODAY(),"Patience Premium","")</f>
        <v/>
      </c>
      <c r="G5" s="5" t="s">
        <v>8</v>
      </c>
      <c r="I5" s="349">
        <v>1333330048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1973.3284710400001</v>
      </c>
      <c r="J6" s="350"/>
      <c r="K6" s="91"/>
    </row>
    <row r="7" spans="1:12" ht="15.75" customHeight="1">
      <c r="B7" s="86" t="s">
        <v>10</v>
      </c>
      <c r="C7" s="218">
        <f>(Data!C42*Exchange_Rate)/I4</f>
        <v>5.2798711756443864E-2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28.128304976395821</v>
      </c>
      <c r="J9" s="166">
        <f>IF(I9="NNI","NNI",1/I9)</f>
        <v>3.5551377903473423E-2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0.6457069835916055</v>
      </c>
      <c r="J10" s="223">
        <f>I4/(Data!C7*Data!C4/Common_Shares*Exchange_Rate)</f>
        <v>1.2624828428922195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390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1.0838026603062947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1.9226867310597755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1.48</v>
      </c>
      <c r="C16" s="373">
        <v>0.2</v>
      </c>
      <c r="D16" s="238">
        <f ca="1">I37/B16-(1+C16)</f>
        <v>0.21512874828346717</v>
      </c>
      <c r="E16" s="354" t="s">
        <v>21</v>
      </c>
      <c r="F16" s="351">
        <f>(Val_Models!G16)*Exchange_Rate</f>
        <v>2.0334261718074864</v>
      </c>
      <c r="G16" s="354" t="s">
        <v>22</v>
      </c>
      <c r="H16" s="239">
        <f>B16-$F$16</f>
        <v>-0.55342617180748643</v>
      </c>
      <c r="I16" s="367">
        <f>0.0447+0.0251</f>
        <v>6.9800000000000001E-2</v>
      </c>
      <c r="J16" s="166">
        <f>I16/B16</f>
        <v>4.7162162162162166E-2</v>
      </c>
    </row>
    <row r="17" spans="1:10" ht="15.75" customHeight="1">
      <c r="B17" s="116">
        <f ca="1">MIN((I37+I38)/2,I37/(1+C16), IF(J20=0,E14,I37/(1+C16)))</f>
        <v>1.7453254562162761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-0.28810071559121031</v>
      </c>
      <c r="I17" s="368"/>
      <c r="J17" s="149">
        <f ca="1">I16/B17</f>
        <v>3.9992541076734611E-2</v>
      </c>
    </row>
    <row r="18" spans="1:10" ht="15.75" customHeight="1">
      <c r="B18" s="129">
        <f>C37</f>
        <v>1.2</v>
      </c>
      <c r="C18" s="375"/>
      <c r="D18" s="237">
        <f ca="1">I37/B18-(1+C16)</f>
        <v>0.54532545621627615</v>
      </c>
      <c r="E18" s="356"/>
      <c r="F18" s="353"/>
      <c r="G18" s="356"/>
      <c r="H18" s="98">
        <f>B18-$F$16</f>
        <v>-0.83342617180748646</v>
      </c>
      <c r="I18" s="369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391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406</v>
      </c>
      <c r="D22" s="337"/>
      <c r="E22" s="337"/>
      <c r="F22" s="337"/>
      <c r="G22" s="358" t="s">
        <v>404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405</v>
      </c>
      <c r="D23" s="347"/>
      <c r="E23" s="347"/>
      <c r="F23" s="347"/>
      <c r="G23" s="346" t="s">
        <v>408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409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44932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0.22500000000000001</v>
      </c>
      <c r="D29" s="365"/>
      <c r="E29" s="364">
        <f>E33/D27</f>
        <v>9.0909090909090912E-2</v>
      </c>
      <c r="F29" s="365"/>
      <c r="G29" s="371">
        <f>G33/D27</f>
        <v>0</v>
      </c>
      <c r="H29" s="371"/>
      <c r="I29" s="370">
        <f>C29+E29+G29</f>
        <v>0.31590909090909092</v>
      </c>
      <c r="J29" s="370"/>
    </row>
    <row r="30" spans="1:10" ht="15.75" customHeight="1">
      <c r="B30" s="18" t="s">
        <v>32</v>
      </c>
      <c r="C30" s="349">
        <v>90000</v>
      </c>
      <c r="D30" s="339"/>
      <c r="E30" s="349">
        <v>50000</v>
      </c>
      <c r="F30" s="339"/>
      <c r="G30" s="349"/>
      <c r="H30" s="349"/>
      <c r="I30" s="376">
        <f>C30+E30+G30</f>
        <v>140000</v>
      </c>
      <c r="J30" s="376"/>
    </row>
    <row r="31" spans="1:10" ht="15.75" customHeight="1">
      <c r="B31" s="18" t="s">
        <v>33</v>
      </c>
      <c r="C31" s="363">
        <v>1.65</v>
      </c>
      <c r="D31" s="339"/>
      <c r="E31" s="363">
        <v>1.2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2199.9945791999999</v>
      </c>
      <c r="D32" s="365"/>
      <c r="E32" s="328">
        <f>E31*$I$5/1000000</f>
        <v>1599.9960575999999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148500</v>
      </c>
      <c r="D33" s="378"/>
      <c r="E33" s="329">
        <f>E30*E31</f>
        <v>60000</v>
      </c>
      <c r="F33" s="378"/>
      <c r="G33" s="329">
        <f>G30*G31</f>
        <v>0</v>
      </c>
      <c r="H33" s="329"/>
      <c r="I33" s="329">
        <f>C33+E33+G33</f>
        <v>208500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1.4892857142857143</v>
      </c>
      <c r="F34" s="365"/>
      <c r="G34" s="78"/>
      <c r="H34" s="78"/>
      <c r="I34" s="332">
        <f>IF(I33=0,"",I33/I30)</f>
        <v>1.4892857142857143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1985.7093929142857</v>
      </c>
      <c r="F35" s="377"/>
      <c r="G35" s="230"/>
      <c r="H35" s="230"/>
      <c r="I35" s="331">
        <f>IF(I34="","",I34*$I$5/1000000)</f>
        <v>1985.7093929142857</v>
      </c>
      <c r="J35" s="331"/>
    </row>
    <row r="36" spans="2:11" ht="15.75" customHeight="1"/>
    <row r="37" spans="2:11" ht="15.75" customHeight="1">
      <c r="B37" s="87" t="s">
        <v>255</v>
      </c>
      <c r="C37" s="326">
        <f>E31</f>
        <v>1.2</v>
      </c>
      <c r="D37" s="327"/>
      <c r="E37" s="79" t="str">
        <f ca="1">IF(C37&gt;B17,"Caution! &gt; Breakeven price!","")</f>
        <v/>
      </c>
      <c r="F37" s="6"/>
      <c r="G37" s="323" t="s">
        <v>314</v>
      </c>
      <c r="H37" s="323"/>
      <c r="I37" s="324">
        <f ca="1">Val_Models!C46</f>
        <v>2.0943905474595312</v>
      </c>
      <c r="J37" s="325"/>
    </row>
    <row r="38" spans="2:11" ht="15.75" customHeight="1">
      <c r="B38" s="87" t="s">
        <v>280</v>
      </c>
      <c r="C38" s="326">
        <f>E34</f>
        <v>1.4892857142857143</v>
      </c>
      <c r="D38" s="327"/>
      <c r="E38" s="6"/>
      <c r="F38" s="6"/>
      <c r="G38" s="323" t="s">
        <v>279</v>
      </c>
      <c r="H38" s="323"/>
      <c r="I38" s="324">
        <f ca="1">Val_Models!C47</f>
        <v>1.5381493848478205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0.26932760452092808</v>
      </c>
      <c r="F47" s="171">
        <f ca="1">I37/C38-1</f>
        <v>0.40630540356994893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-6.7788251607381445E-2</v>
      </c>
      <c r="F48" s="171">
        <f ca="1">Val_Models!C47/C38-1</f>
        <v>3.2810138506929709E-2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0.67579270113147172</v>
      </c>
      <c r="F50" s="171">
        <f ca="1">IF(F47&lt;=0,0,AVERAGE(F41:F44,0.5*(1+F47+F48-C16)))</f>
        <v>0.69955032004780482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3.973072001927854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1.8564751314273378</v>
      </c>
      <c r="F52" s="232">
        <f ca="1">MAX(C16*2.5/F47,1)+IF(F47&lt;C16,100,0)+IF(D18&lt;0,100,0)+IF(J20=1,2/(1+F47+F48-C16),0)</f>
        <v>1.2306014037884208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0.3200643667996349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2.408479080690161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1.838292726902756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-868436.52896000003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55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1.9922162684800397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1.9922162684800397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1.9922162684800397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23"/>
      <c r="G40" s="280">
        <f>Asset_Model!D7</f>
        <v>1.838292726902756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1.7990786645348613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1.9226867310597755</v>
      </c>
      <c r="D44" s="262" t="str">
        <f>Dashboard!J4</f>
        <v>HKD</v>
      </c>
      <c r="E44" s="263">
        <f ca="1">(C44-G16)/C9</f>
        <v>7.7530462601560695</v>
      </c>
      <c r="F44" s="263">
        <f ca="1">C44/(Data!C29*Exchange_Rate*Data!C4/Common_Shares)</f>
        <v>0.83884611452987312</v>
      </c>
      <c r="G44" s="263">
        <f ca="1">C44/(Data!C7*Data!C4*Exchange_Rate/Common_Shares)</f>
        <v>1.6401074393374957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2.3121399174625545</v>
      </c>
      <c r="D45" s="256" t="str">
        <f>D44</f>
        <v>HKD</v>
      </c>
      <c r="E45" s="223">
        <f>(C45-G16)/C9</f>
        <v>72.700313164902056</v>
      </c>
      <c r="F45" s="223">
        <f>C45/(Asset_Model!I3*Exchange_Rate*Data!C4/Common_Shares)</f>
        <v>0.96</v>
      </c>
      <c r="G45" s="223">
        <f>C45/(Data!C7*Data!C4*Exchange_Rate/Common_Shares)</f>
        <v>1.9723222811910188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2.0943905474595312</v>
      </c>
      <c r="D46" s="256" t="str">
        <f>D45</f>
        <v>HKD</v>
      </c>
      <c r="E46" s="223">
        <f ca="1">(C46-G16)/C9</f>
        <v>36.38728005673147</v>
      </c>
      <c r="F46" s="223">
        <f ca="1">C46/(Asset_Model!I3*Exchange_Rate*Data!C4/Common_Shares)</f>
        <v>0.86959050807257743</v>
      </c>
      <c r="G46" s="223">
        <f ca="1">C46/(Data!C7*Data!C4*Exchange_Rate/Common_Shares)</f>
        <v>1.7865757651914196</v>
      </c>
    </row>
    <row r="47" spans="1:9" ht="15.75" customHeight="1">
      <c r="B47" s="84" t="s">
        <v>279</v>
      </c>
      <c r="C47" s="259">
        <f ca="1">MAX(G41,C44)/(1+Dashboard!I14)</f>
        <v>1.5381493848478205</v>
      </c>
      <c r="D47" s="260" t="str">
        <f>D45</f>
        <v>HKD</v>
      </c>
      <c r="E47" s="224">
        <f ca="1">(C47-G16)/C9</f>
        <v>-56.374429213728874</v>
      </c>
      <c r="F47" s="224">
        <f ca="1">C47/(Asset_Model!I3*Exchange_Rate*Data!C4/Common_Shares)</f>
        <v>0.63863929613499348</v>
      </c>
      <c r="G47" s="224">
        <f ca="1">C47/(Data!C7*Data!C4*Exchange_Rate/Common_Shares)</f>
        <v>1.3120859514699967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