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49335AF3-A1E0-415E-B6D9-6001BD15F36C}" xr6:coauthVersionLast="47" xr6:coauthVersionMax="47" xr10:uidLastSave="{00000000-0000-0000-0000-000000000000}"/>
  <bookViews>
    <workbookView xWindow="34620" yWindow="7635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3" i="7" l="1"/>
  <c r="G14" i="7"/>
  <c r="G10" i="7"/>
  <c r="G8" i="7"/>
  <c r="F38" i="2"/>
  <c r="G38" i="2"/>
  <c r="H38" i="2"/>
  <c r="I38" i="2"/>
  <c r="J38" i="2"/>
  <c r="K38" i="2"/>
  <c r="L38" i="2"/>
  <c r="M38" i="2"/>
  <c r="F37" i="2"/>
  <c r="G37" i="2"/>
  <c r="H37" i="2"/>
  <c r="I37" i="2"/>
  <c r="J37" i="2"/>
  <c r="K37" i="2"/>
  <c r="L37" i="2"/>
  <c r="M37" i="2"/>
  <c r="F36" i="2"/>
  <c r="G36" i="2"/>
  <c r="H36" i="2"/>
  <c r="I36" i="2"/>
  <c r="J36" i="2"/>
  <c r="K36" i="2"/>
  <c r="L36" i="2"/>
  <c r="M36" i="2"/>
  <c r="E33" i="2"/>
  <c r="E36" i="2" s="1"/>
  <c r="D33" i="2"/>
  <c r="D36" i="2" s="1"/>
  <c r="C33" i="2"/>
  <c r="C36" i="2" s="1"/>
  <c r="D11" i="2"/>
  <c r="C11" i="2"/>
  <c r="G22" i="7"/>
  <c r="G45" i="4"/>
  <c r="C34" i="3"/>
  <c r="C38" i="3"/>
  <c r="C14" i="3"/>
  <c r="C17" i="3"/>
  <c r="C37" i="2" l="1"/>
  <c r="F23" i="7"/>
  <c r="E37" i="2"/>
  <c r="D37" i="2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C37" i="1"/>
  <c r="B18" i="1" s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<sst xmlns="http://schemas.openxmlformats.org/spreadsheetml/2006/main" count="481" uniqueCount="414">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</sst>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="144" zoomScaleNormal="100" workbookViewId="0">
      <selection activeCell="G23" sqref="G23:J23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394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395</v>
      </c>
      <c r="D4" s="339"/>
      <c r="E4" s="6"/>
      <c r="G4" s="5" t="s">
        <v>5</v>
      </c>
      <c r="I4" s="221">
        <v>1.78</v>
      </c>
      <c r="J4" s="222" t="s">
        <v>6</v>
      </c>
      <c r="K4" s="92"/>
    </row>
    <row r="5" spans="1:12" ht="15.75" customHeight="1">
      <c r="B5" s="5" t="s">
        <v>7</v>
      </c>
      <c r="C5" s="340">
        <v>45177</v>
      </c>
      <c r="D5" s="339"/>
      <c r="E5" s="79" t="str">
        <f ca="1">IF(C5+30&gt;=TODAY(),"Patience Premium","")</f>
        <v>Patience Premium</v>
      </c>
      <c r="G5" s="5" t="s">
        <v>8</v>
      </c>
      <c r="I5" s="349">
        <v>2017360000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3590.9007999999999</v>
      </c>
      <c r="J6" s="350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1.7664268112637976E-2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0.33277084968657644</v>
      </c>
      <c r="J10" s="223">
        <f>I4/(Data!C7*Data!C4/Common_Shares*Exchange_Rate)</f>
        <v>3.5849840754037978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396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1.0838026603062947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2.8003784072163862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1.78</v>
      </c>
      <c r="C16" s="373">
        <v>0.2</v>
      </c>
      <c r="D16" s="238">
        <f ca="1">I37/B16-(1+C16)</f>
        <v>0.41879741692248107</v>
      </c>
      <c r="E16" s="354" t="s">
        <v>21</v>
      </c>
      <c r="F16" s="351">
        <f>(Val_Models!G16)*Exchange_Rate</f>
        <v>3.1256866846314058</v>
      </c>
      <c r="G16" s="354" t="s">
        <v>22</v>
      </c>
      <c r="H16" s="239">
        <f>B16-$F$16</f>
        <v>-1.3456866846314057</v>
      </c>
      <c r="I16" s="367">
        <v>0</v>
      </c>
      <c r="J16" s="166">
        <f>I16/B16</f>
        <v>0</v>
      </c>
    </row>
    <row r="17" spans="1:10" ht="15.75" customHeight="1">
      <c r="B17" s="116">
        <f ca="1">MIN((I37+I38)/2,I37/(1+C16), IF(J20=0,E14,I37/(1+C16)))</f>
        <v>2.4012161684350137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-0.72447051619639202</v>
      </c>
      <c r="I17" s="368"/>
      <c r="J17" s="149">
        <f ca="1">I16/B17</f>
        <v>0</v>
      </c>
    </row>
    <row r="18" spans="1:10" ht="15.75" customHeight="1">
      <c r="B18" s="129">
        <f>C37</f>
        <v>1.8</v>
      </c>
      <c r="C18" s="375"/>
      <c r="D18" s="237">
        <f ca="1">I37/B18-(1+C16)</f>
        <v>0.40081077895667572</v>
      </c>
      <c r="E18" s="356"/>
      <c r="F18" s="353"/>
      <c r="G18" s="356"/>
      <c r="H18" s="98">
        <f>B18-$F$16</f>
        <v>-1.3256866846314057</v>
      </c>
      <c r="I18" s="369"/>
      <c r="J18" s="15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409</v>
      </c>
      <c r="D22" s="337"/>
      <c r="E22" s="337"/>
      <c r="F22" s="337"/>
      <c r="G22" s="358" t="s">
        <v>407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412</v>
      </c>
      <c r="D23" s="347"/>
      <c r="E23" s="347"/>
      <c r="F23" s="347"/>
      <c r="G23" s="346" t="s">
        <v>413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411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45180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8.1818181818181818E-2</v>
      </c>
      <c r="D29" s="365"/>
      <c r="E29" s="364">
        <f>E33/D27</f>
        <v>7.2727272727272724E-2</v>
      </c>
      <c r="F29" s="365"/>
      <c r="G29" s="371">
        <f>G33/D27</f>
        <v>0</v>
      </c>
      <c r="H29" s="371"/>
      <c r="I29" s="370">
        <f>C29+E29+G29</f>
        <v>0.15454545454545454</v>
      </c>
      <c r="J29" s="370"/>
    </row>
    <row r="30" spans="1:10" ht="15.75" customHeight="1">
      <c r="B30" s="18" t="s">
        <v>32</v>
      </c>
      <c r="C30" s="349">
        <v>30000</v>
      </c>
      <c r="D30" s="339"/>
      <c r="E30" s="349">
        <v>30000</v>
      </c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</v>
      </c>
      <c r="D31" s="339"/>
      <c r="E31" s="363">
        <v>1.6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3631.248</v>
      </c>
      <c r="D32" s="365"/>
      <c r="E32" s="328">
        <f>E31*$I$5/1000000</f>
        <v>3227.7759999999998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54000</v>
      </c>
      <c r="D33" s="378"/>
      <c r="E33" s="329">
        <f>E30*E31</f>
        <v>48000</v>
      </c>
      <c r="F33" s="378"/>
      <c r="G33" s="329">
        <f>G30*G31</f>
        <v>0</v>
      </c>
      <c r="H33" s="329"/>
      <c r="I33" s="329">
        <f>C33+E33+G33</f>
        <v>102000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1.7</v>
      </c>
      <c r="F34" s="365"/>
      <c r="G34" s="78"/>
      <c r="H34" s="78"/>
      <c r="I34" s="332">
        <f>IF(I33=0,"",I33/I30)</f>
        <v>1.7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3429.5120000000002</v>
      </c>
      <c r="F35" s="377"/>
      <c r="G35" s="230"/>
      <c r="H35" s="230"/>
      <c r="I35" s="331">
        <f>IF(I34="","",I34*$I$5/1000000)</f>
        <v>3429.5120000000002</v>
      </c>
      <c r="J35" s="331"/>
    </row>
    <row r="36" spans="2:11" ht="15.75" customHeight="1"/>
    <row r="37" spans="2:11" ht="15.75" customHeight="1">
      <c r="B37" s="87" t="s">
        <v>255</v>
      </c>
      <c r="C37" s="326">
        <f>C31</f>
        <v>1.8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2.8814594021220161</v>
      </c>
      <c r="J37" s="325"/>
    </row>
    <row r="38" spans="2:11" ht="15.75" customHeight="1">
      <c r="B38" s="87" t="s">
        <v>280</v>
      </c>
      <c r="C38" s="326">
        <f>E34</f>
        <v>1.7</v>
      </c>
      <c r="D38" s="327"/>
      <c r="E38" s="6"/>
      <c r="F38" s="6"/>
      <c r="G38" s="323" t="s">
        <v>279</v>
      </c>
      <c r="H38" s="323"/>
      <c r="I38" s="324">
        <f ca="1">Val_Models!C47</f>
        <v>2.240302725773109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0.60081077895667567</v>
      </c>
      <c r="F47" s="171">
        <f ca="1">I37/C38-1</f>
        <v>0.69497611889530364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0.2446126254295049</v>
      </c>
      <c r="F48" s="171">
        <f ca="1">Val_Models!C47/C38-1</f>
        <v>0.3178251328077113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0.6831309325184719</v>
      </c>
      <c r="F50" s="171">
        <f ca="1">IF(F47&lt;=0,0,AVERAGE(F41:F44,0.5*(1+F47+F48-C16)))</f>
        <v>0.69986871725015543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388</v>
      </c>
    </row>
    <row r="65" spans="2:2" ht="15.75" customHeight="1">
      <c r="B65" s="3" t="s">
        <v>390</v>
      </c>
    </row>
    <row r="66" spans="2:2" ht="15.75" customHeight="1">
      <c r="B66" s="3" t="s">
        <v>389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5.0497829840065851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5135066.74063545</v>
      </c>
      <c r="E6" s="149">
        <f>1-D6/D3</f>
        <v>0.45357748961805933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2.7587535166510064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4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4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4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4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-1913</v>
      </c>
      <c r="D53" s="54">
        <f>IF(E53=0, 0,E53/C53)</f>
        <v>0.33277084968657639</v>
      </c>
      <c r="E53" s="51">
        <f>MAX(C53,C53*Dashboard!I10)</f>
        <v>-636.59063545042068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-3872117.7906354507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63281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81640625"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 ht="13">
      <c r="B78" s="297" t="s">
        <v>357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5818065.8906354504</v>
      </c>
    </row>
    <row r="16" spans="1:10" ht="15.75" customHeight="1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2.8839998268209195</v>
      </c>
    </row>
    <row r="17" spans="1:9" ht="15.75" customHeight="1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636.59063545042068</v>
      </c>
      <c r="D18" s="106">
        <f>C18*Data!C4/Common_Shares</f>
        <v>3.1555628913551407E-4</v>
      </c>
      <c r="E18" s="355"/>
      <c r="F18" s="89">
        <f>D15+(MIN(D4,0)*Data!C$4/Common_Shares)</f>
        <v>2.9541328518459768</v>
      </c>
      <c r="G18" s="88">
        <f>SUM(D16:D18)</f>
        <v>-7.0133025025057305E-2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2.7590680538539081</v>
      </c>
      <c r="G22" s="271">
        <f>F22*Exchange_Rate</f>
        <v>2.9902852967329765</v>
      </c>
      <c r="I22" s="43"/>
    </row>
    <row r="23" spans="1:9" ht="15.75" customHeight="1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2.7590680538539081</v>
      </c>
      <c r="G23" s="272">
        <f>F23*Exchange_Rate</f>
        <v>2.9902852967329765</v>
      </c>
      <c r="I23" s="43"/>
    </row>
    <row r="24" spans="1:9" ht="15.5" customHeight="1">
      <c r="C24" s="6"/>
      <c r="D24" s="6"/>
      <c r="E24" s="391" t="s">
        <v>333</v>
      </c>
      <c r="F24" s="392"/>
      <c r="G24" s="143">
        <f>MIN(G22,G23)+ABS(G22-G23)*Qualitative_Analysis!$E$64</f>
        <v>2.9902852967329765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>
      <c r="B35" s="141" t="s">
        <v>305</v>
      </c>
      <c r="C35" s="273">
        <f>Dashboard!C31</f>
        <v>1.8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0.17280000000000001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-0.30795065606174932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1.0204013315910039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-0.30179366346140929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23"/>
      <c r="G40" s="280">
        <f>Asset_Model!D7</f>
        <v>2.7587535166510064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2.6628596251526484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2.8003784072163862</v>
      </c>
      <c r="D44" s="262" t="str">
        <f>Dashboard!J4</f>
        <v>HKD</v>
      </c>
      <c r="E44" s="263">
        <f ca="1">(C44-G16)/C9</f>
        <v>2.4506727156342794</v>
      </c>
      <c r="F44" s="263">
        <f ca="1">C44/(Data!C29*Exchange_Rate*Data!C4/Common_Shares)</f>
        <v>0.52353050674906654</v>
      </c>
      <c r="G44" s="263">
        <f ca="1">(C44*Common_Shares)/(Data!$C$7*Data!$C$4*Exchange_Rate)</f>
        <v>5.6400629185255022</v>
      </c>
      <c r="I44" s="43"/>
    </row>
    <row r="45" spans="1:9" ht="15.75" customHeight="1">
      <c r="B45" s="6" t="s">
        <v>313</v>
      </c>
      <c r="C45" s="255">
        <v>3</v>
      </c>
      <c r="D45" s="256" t="str">
        <f>D44</f>
        <v>HKD</v>
      </c>
      <c r="E45" s="223">
        <f>(C45-G16)/C9</f>
        <v>-3.3995890139541789</v>
      </c>
      <c r="F45" s="223">
        <f>C45/(Asset_Model!I3*Exchange_Rate*Data!C4/Common_Shares)</f>
        <v>0.59408493582822208</v>
      </c>
      <c r="G45" s="223">
        <f>(C45*Common_Shares)/(Data!$C$7*Data!$C$4*Exchange_Rate)</f>
        <v>6.042107992253591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2.8814594021220161</v>
      </c>
      <c r="D46" s="256" t="str">
        <f>D45</f>
        <v>HKD</v>
      </c>
      <c r="E46" s="223">
        <f ca="1">(C46-G16)/C9</f>
        <v>7.4451612100931097E-2</v>
      </c>
      <c r="F46" s="223">
        <f ca="1">C46/(Asset_Model!I3*Exchange_Rate*Data!C4/Common_Shares)</f>
        <v>0.57061054133376177</v>
      </c>
      <c r="G46" s="223">
        <f ca="1">(C46*Common_Shares)/(Data!$C$7*Data!$C$4*Exchange_Rate)</f>
        <v>5.8033629609718966</v>
      </c>
    </row>
    <row r="47" spans="1:9" ht="15.75" customHeight="1">
      <c r="B47" s="84" t="s">
        <v>279</v>
      </c>
      <c r="C47" s="259">
        <f ca="1">MAX(G41,C44)/(1+Dashboard!I14)</f>
        <v>2.240302725773109</v>
      </c>
      <c r="D47" s="260" t="str">
        <f>D45</f>
        <v>HKD</v>
      </c>
      <c r="E47" s="224">
        <f ca="1">(C47-G16)/C9</f>
        <v>18.864675224734309</v>
      </c>
      <c r="F47" s="224">
        <f ca="1">C47/(Asset_Model!I3*Exchange_Rate*Data!C4/Common_Shares)</f>
        <v>0.4436433670255695</v>
      </c>
      <c r="G47" s="224">
        <f ca="1">(C47*Common_Shares)/(Data!$C$7*Data!$C$4*Exchange_Rate)</f>
        <v>4.512050334820402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4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2023-09-14T02:19:04Z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