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7D4D583-F25F-4E48-B6C5-298307EB1F0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3" i="7" l="1"/>
  <c r="G12" i="7"/>
  <c r="G10" i="7"/>
  <c r="G7" i="7"/>
  <c r="D7" i="4"/>
  <c r="D6" i="4"/>
  <c r="E13" i="7"/>
  <c r="E12" i="7"/>
  <c r="C13" i="7"/>
  <c r="E6" i="7"/>
  <c r="E4" i="7"/>
  <c r="E5" i="7"/>
  <c r="C7" i="7"/>
  <c r="I11" i="3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E4" i="4"/>
  <c r="G18" i="7"/>
  <c r="E18" i="5"/>
  <c r="D64" i="5"/>
  <c r="E7" i="5" s="1"/>
  <c r="D7" i="5" s="1"/>
  <c r="D8" i="5" s="1"/>
  <c r="E8" i="5" s="1"/>
  <c r="F41" i="1"/>
  <c r="D5" i="4" l="1"/>
  <c r="D8" i="4"/>
  <c r="D9" i="4" s="1"/>
  <c r="G16" i="4"/>
  <c r="F18" i="4"/>
  <c r="D11" i="4"/>
  <c r="E8" i="4"/>
  <c r="G9" i="4" s="1"/>
  <c r="E6" i="3"/>
  <c r="E5" i="4"/>
  <c r="E10" i="4"/>
  <c r="F39" i="1"/>
  <c r="D12" i="4" l="1"/>
  <c r="F16" i="1"/>
  <c r="H16" i="1" s="1"/>
  <c r="E17" i="4"/>
  <c r="E11" i="4"/>
  <c r="G11" i="4" s="1"/>
  <c r="E9" i="4"/>
  <c r="C30" i="4" l="1"/>
  <c r="F30" i="4" s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<sst xmlns="http://schemas.openxmlformats.org/spreadsheetml/2006/main" count="405" uniqueCount="335">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</sst>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E45" sqref="E4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20.05</v>
      </c>
      <c r="J4" s="33" t="s">
        <v>6</v>
      </c>
      <c r="K4" s="149"/>
    </row>
    <row r="5" spans="1:12" ht="15.75" customHeight="1">
      <c r="B5" s="5" t="s">
        <v>7</v>
      </c>
      <c r="C5" s="376">
        <v>45107</v>
      </c>
      <c r="D5" s="375"/>
      <c r="E5" s="120" t="str">
        <f ca="1">IF(C5+30&gt;=TODAY(),"Patience Premium","")</f>
        <v>Patience Premium</v>
      </c>
      <c r="G5" s="5" t="s">
        <v>8</v>
      </c>
      <c r="I5" s="386">
        <v>587107968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388">
        <f>I4*I5/1000000</f>
        <v>11771.514758399999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9.1624445388505382</v>
      </c>
      <c r="J9" s="48">
        <f>IF(I9="NNI","NNI",1/I9)</f>
        <v>0.10914117905541544</v>
      </c>
    </row>
    <row r="10" spans="1:12" ht="15.75" customHeight="1">
      <c r="B10" s="3" t="s">
        <v>255</v>
      </c>
      <c r="C10" s="279" t="s">
        <v>334</v>
      </c>
      <c r="D10" s="279">
        <v>3.4660000000000003E-2</v>
      </c>
      <c r="E10" s="5"/>
      <c r="G10" s="5" t="s">
        <v>14</v>
      </c>
      <c r="I10" s="135">
        <f>I4/(Data!C28*I12*Data!C4/Common_Shares)</f>
        <v>0.96322482820064115</v>
      </c>
      <c r="J10" s="127">
        <f>IF(Asset_Model!D60/'FCFF Model'!C4&lt;0,"Negative EV",Asset_Model!D60/'FCFF Model'!C4)</f>
        <v>10.059855582934354</v>
      </c>
    </row>
    <row r="11" spans="1:12" ht="15.75" customHeight="1" thickBot="1">
      <c r="B11" s="288" t="s">
        <v>256</v>
      </c>
      <c r="C11" s="403">
        <f ca="1">C12-D10</f>
        <v>3.7339999999999991E-2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7.1999999999999995E-2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20.674570262341472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20.05</v>
      </c>
      <c r="C16" s="420">
        <v>0.25</v>
      </c>
      <c r="D16" s="156">
        <f ca="1">I35/B16-(1+J25)</f>
        <v>-7.7416359555593228E-3</v>
      </c>
      <c r="E16" s="393" t="s">
        <v>23</v>
      </c>
      <c r="F16" s="390">
        <f>('FCFF Model'!G16)*Exchange_Rate</f>
        <v>2.5350084943225366</v>
      </c>
      <c r="G16" s="393" t="s">
        <v>24</v>
      </c>
      <c r="H16" s="355">
        <f>B16-$F$16</f>
        <v>17.514991505677465</v>
      </c>
      <c r="I16" s="411">
        <v>2.5100000000000001E-2</v>
      </c>
      <c r="J16" s="158">
        <f>I16/B16</f>
        <v>1.2518703241895261E-3</v>
      </c>
    </row>
    <row r="17" spans="1:10" ht="15.75" customHeight="1">
      <c r="B17" s="269">
        <f ca="1">(I35+I36)/2</f>
        <v>20.222218204482107</v>
      </c>
      <c r="C17" s="421"/>
      <c r="D17" s="268">
        <f ca="1">I35/B17-(1+J25)</f>
        <v>-1.7895249800404356E-2</v>
      </c>
      <c r="E17" s="394"/>
      <c r="F17" s="391"/>
      <c r="G17" s="394"/>
      <c r="H17" s="356">
        <f ca="1">B17-$F$16</f>
        <v>17.687209710159571</v>
      </c>
      <c r="I17" s="412"/>
      <c r="J17" s="159">
        <f ca="1">I16/B17</f>
        <v>1.2412090378115278E-3</v>
      </c>
    </row>
    <row r="18" spans="1:10" ht="15.75" customHeight="1">
      <c r="B18" s="323">
        <f>C35</f>
        <v>19</v>
      </c>
      <c r="C18" s="422"/>
      <c r="D18" s="157">
        <f ca="1">I35/B18-(1+J25)</f>
        <v>5.8146326267949355E-2</v>
      </c>
      <c r="E18" s="395"/>
      <c r="F18" s="392"/>
      <c r="G18" s="395"/>
      <c r="H18" s="357">
        <f>B18-$F$16</f>
        <v>16.464991505677464</v>
      </c>
      <c r="I18" s="413"/>
      <c r="J18" s="160">
        <f>I16/B18</f>
        <v>1.3210526315789474E-3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/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/>
      <c r="D22" s="398"/>
      <c r="E22" s="398"/>
      <c r="F22" s="398"/>
      <c r="G22" s="397"/>
      <c r="H22" s="397"/>
      <c r="I22" s="398"/>
      <c r="J22" s="398"/>
    </row>
    <row r="23" spans="1:10" ht="52.5" customHeight="1">
      <c r="A23" s="6"/>
      <c r="B23" s="25" t="s">
        <v>28</v>
      </c>
      <c r="C23" s="382"/>
      <c r="D23" s="383"/>
      <c r="E23" s="383"/>
      <c r="F23" s="383"/>
      <c r="G23" s="382"/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2.8787878787878787E-3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2.8787878787878787E-3</v>
      </c>
      <c r="J27" s="414"/>
    </row>
    <row r="28" spans="1:10" ht="15.75" customHeight="1">
      <c r="B28" s="23" t="s">
        <v>34</v>
      </c>
      <c r="C28" s="436">
        <v>100</v>
      </c>
      <c r="D28" s="398"/>
      <c r="E28" s="436">
        <v>0</v>
      </c>
      <c r="F28" s="398"/>
      <c r="G28" s="386"/>
      <c r="H28" s="387"/>
      <c r="I28" s="426">
        <f>C28+E28+G28</f>
        <v>100</v>
      </c>
      <c r="J28" s="426"/>
    </row>
    <row r="29" spans="1:10" ht="15.75" customHeight="1">
      <c r="B29" s="23" t="s">
        <v>35</v>
      </c>
      <c r="C29" s="437">
        <v>19</v>
      </c>
      <c r="D29" s="398"/>
      <c r="E29" s="437">
        <v>19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11155.051391999999</v>
      </c>
      <c r="D30" s="432"/>
      <c r="E30" s="424">
        <f>E29*$I$5/1000000</f>
        <v>11155.051391999999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1900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1900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19</v>
      </c>
      <c r="F32" s="409"/>
      <c r="G32" s="115"/>
      <c r="H32" s="115"/>
      <c r="I32" s="427">
        <f>IF(I31=0,"",I31/I28)</f>
        <v>19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11155.051391999999</v>
      </c>
      <c r="F33" s="432"/>
      <c r="G33" s="116"/>
      <c r="H33" s="116"/>
      <c r="I33" s="424">
        <f>IF(I32="","",I32*$I$5/1000000)</f>
        <v>11155.051391999999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19</v>
      </c>
      <c r="D35" s="365"/>
      <c r="G35" s="366" t="s">
        <v>317</v>
      </c>
      <c r="H35" s="367"/>
      <c r="I35" s="362">
        <f ca="1">'FCFF Model'!C31</f>
        <v>23.904780199091036</v>
      </c>
      <c r="J35" s="363"/>
    </row>
    <row r="36" spans="2:11" ht="15.75" customHeight="1">
      <c r="B36" s="143" t="s">
        <v>318</v>
      </c>
      <c r="C36" s="364">
        <f>E32</f>
        <v>19</v>
      </c>
      <c r="D36" s="365"/>
      <c r="G36" s="361" t="s">
        <v>315</v>
      </c>
      <c r="H36" s="361"/>
      <c r="I36" s="362">
        <f ca="1">'FCFF Model'!C32</f>
        <v>16.539656209873179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0.25814632626794931</v>
      </c>
      <c r="F45" s="332">
        <f ca="1">I35/C36-1</f>
        <v>0.25814632626794931</v>
      </c>
    </row>
    <row r="46" spans="2:11" ht="15.75" customHeight="1">
      <c r="B46" s="3" t="s">
        <v>300</v>
      </c>
      <c r="E46" s="329">
        <f ca="1">I36/C29-1</f>
        <v>-0.12949177842772741</v>
      </c>
      <c r="F46" s="332">
        <f ca="1">I36/C36-1</f>
        <v>-0.12949177842772741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0.73432319701624871</v>
      </c>
      <c r="F48" s="329">
        <f ca="1">IF(F45&lt;=0,0,AVERAGE(F39:F41,1-F42,F45/J25))</f>
        <v>0.73432319701624871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1.9935344884619621</v>
      </c>
      <c r="F49" s="328">
        <f ca="1">IF(F46&gt;=0,100,F45/ABS(F46))</f>
        <v>1.9935344884619621</v>
      </c>
      <c r="G49" s="73"/>
    </row>
    <row r="50" spans="2:9" ht="15.75" customHeight="1">
      <c r="B50" s="3" t="s">
        <v>327</v>
      </c>
      <c r="E50" s="358">
        <f ca="1">MAX(J25*2/E45,1)</f>
        <v>1.5495087835757546</v>
      </c>
      <c r="F50" s="358">
        <f ca="1">MAX(J25*2/F45,1)</f>
        <v>1.5495087835757546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0.38789968474430309</v>
      </c>
      <c r="F51" s="327">
        <f ca="1">MIN(MAX(F48-ABS((1-F48)/F49),0)/F50,H51)</f>
        <v>0.38789968474430309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8" sqref="E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399902.40749999997</v>
      </c>
      <c r="D34" s="140">
        <f>IF(E7="","",D30-E30+D33+IF($C$49="Yes",D51,0))</f>
        <v>298518.31</v>
      </c>
      <c r="E34" s="140">
        <f t="shared" ref="E34:F34" si="11">IF(F7="","",E30-F30+E33+IF($C$49="Yes",E51,0))</f>
        <v>-790524.87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1.5499994031762145</v>
      </c>
      <c r="E39" s="167">
        <f t="shared" si="20"/>
        <v>1.0000000545044554</v>
      </c>
      <c r="F39" s="167">
        <f t="shared" si="20"/>
        <v>1.1000004006077464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9" workbookViewId="0">
      <selection activeCell="D66" sqref="D6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20.816341569392566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8727519.4859644454</v>
      </c>
      <c r="E6" s="14">
        <f>1-D6/D3</f>
        <v>0.28585542047704293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14.865271741575896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P/B Approach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0.96322482820064115</v>
      </c>
      <c r="E50" s="212">
        <f>MAX(C50,C50*Dashboard!I10)</f>
        <v>-479.68596444391932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860201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860201</v>
      </c>
      <c r="E53" s="434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10282797.072435554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0.59767191825173216</v>
      </c>
      <c r="E63" s="445"/>
    </row>
    <row r="64" spans="2:9" ht="15" customHeight="1">
      <c r="B64" s="3" t="s">
        <v>250</v>
      </c>
      <c r="D64" s="442">
        <v>0.1075</v>
      </c>
      <c r="E64" s="443"/>
      <c r="F64" s="250" t="s">
        <v>236</v>
      </c>
    </row>
    <row r="65" spans="2:5" ht="15" customHeight="1">
      <c r="B65" s="271" t="s">
        <v>252</v>
      </c>
      <c r="D65" s="442">
        <v>0.1075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B15" sqref="B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331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332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333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8753385.5991978105</v>
      </c>
      <c r="F9" s="246"/>
      <c r="G9" s="264">
        <f>IF(G7="","",G7*(1-G10))</f>
        <v>9628724.1591175906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</f>
        <v>0.2696977018568617</v>
      </c>
      <c r="F10" s="183"/>
      <c r="G10" s="72">
        <f>E10</f>
        <v>0.2696977018568617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3232590.1008021887</v>
      </c>
      <c r="F11" s="27"/>
      <c r="G11" s="27">
        <f>IF(G8="","",G7-G9)</f>
        <v>3555849.1108824089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0.11378358242100993</v>
      </c>
      <c r="F14" s="18"/>
      <c r="G14" s="18">
        <f>IF(G8="","",G16/G7)</f>
        <v>0.11378358242101004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6.7889513338070155E-4</v>
      </c>
      <c r="F15" s="248"/>
      <c r="G15" s="14">
        <f>IF(G8="","",IF(ABS(E16+G16)=ABS(E16)+ABS(G16),IF(G16&lt;0,-1,1)*(G16-E16)/E16,"Turn"))</f>
        <v>0.100000000000001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1363807.2539571722</v>
      </c>
      <c r="F16" s="296"/>
      <c r="G16" s="295">
        <f>IF(G8="","",G11-G13)</f>
        <v>1500187.9793528907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>
        <f>IF(G16="","",E17)</f>
        <v>0.25</v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0.11685255137870512</v>
      </c>
      <c r="D18" s="302"/>
      <c r="E18" s="301">
        <f>E19/E9</f>
        <v>0.11685255137870507</v>
      </c>
      <c r="F18" s="301"/>
      <c r="G18" s="301">
        <f>IF(G9="","",G19/G9)</f>
        <v>0.11685255137870518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1022161.5</v>
      </c>
      <c r="D19" s="298"/>
      <c r="E19" s="299">
        <f>IF(E16="","",IF(E16&lt;=0,E16,E16*(1-E17)))</f>
        <v>1022855.4404678792</v>
      </c>
      <c r="F19" s="298"/>
      <c r="G19" s="299">
        <f>IF(G16="","",IF(G16&lt;=0,G16,G16*(1-G17)))</f>
        <v>1125140.9845146681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E29" sqref="E2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1022161.5</v>
      </c>
      <c r="D4" s="45">
        <f>Operation!E19</f>
        <v>1022855.4404678792</v>
      </c>
      <c r="E4" s="45">
        <f>Operation!G19</f>
        <v>1125140.9845146681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6.7889513338070806E-4</v>
      </c>
      <c r="E5" s="242">
        <f>IF(E4="","",E4/D4-1)</f>
        <v>0.10000000000000098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257482.48185000001</v>
      </c>
      <c r="D7" s="286">
        <f>D6*D4</f>
        <v>257657.28545385879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764679.01815000002</v>
      </c>
      <c r="D8" s="188">
        <f>D4-D7</f>
        <v>765198.15501402039</v>
      </c>
      <c r="E8" s="188">
        <f>IF(E4="","",E4-E7)</f>
        <v>1125140.9845146681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1.3024504176887615</v>
      </c>
      <c r="D9" s="283">
        <f>D8/(Common_Shares/Data!$C$4)</f>
        <v>1.3033346449388001</v>
      </c>
      <c r="E9" s="283">
        <f>IF(E8="","",E8/(Common_Shares/Data!$C$4))</f>
        <v>1.9164123906331794</v>
      </c>
      <c r="F9" s="283" t="str">
        <f>IF(F8="","",F8/(Common_Shares/Data!$C$4))</f>
        <v/>
      </c>
      <c r="G9" s="337">
        <f>IF(F4="",IF(E4="",D8,E8),F8)*Data!C$4/Dashboard!I5</f>
        <v>1.9164123906331794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7.1999999999999995E-2</v>
      </c>
      <c r="E10" s="18">
        <f ca="1">IF(E4="","",D10)</f>
        <v>7.1999999999999995E-2</v>
      </c>
      <c r="F10" s="18" t="str">
        <f>IF(F4="","",D10)</f>
        <v/>
      </c>
      <c r="G10" s="223">
        <f ca="1">Dashboard!C12</f>
        <v>7.1999999999999995E-2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1.0720000000000001</v>
      </c>
      <c r="E11" s="219">
        <f ca="1">IF(E4="","",(1+D10)*(1+E10))</f>
        <v>1.1491840000000002</v>
      </c>
      <c r="F11" s="219" t="str">
        <f>IF(F4="","",(1+D10)*(1+E10)*(1+F10))</f>
        <v/>
      </c>
      <c r="G11" s="224">
        <f ca="1">IF(F4="",IF(E4="",D11,E11),F11)*(1+G10)</f>
        <v>1.2319252480000003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1.2157972434130597</v>
      </c>
      <c r="E12" s="193">
        <f ca="1">IF(E9="","",E9/E11)</f>
        <v>1.6676288484987427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3.998669968655578</v>
      </c>
      <c r="E15" s="84" t="s">
        <v>224</v>
      </c>
      <c r="G15" s="134">
        <f>C15+C16+C17+C18</f>
        <v>1488323.685964444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6.7108610592047019E-4</v>
      </c>
      <c r="E16" s="84" t="s">
        <v>306</v>
      </c>
      <c r="G16" s="194">
        <f>(G15+MIN(D4,0))*Data!C$4/Dashboard!I5</f>
        <v>2.5350084943225366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-1.4651495923829805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479.68596444391932</v>
      </c>
      <c r="D18" s="213">
        <f>C18/(Dashboard!I5/Data!C4)</f>
        <v>8.1703194401871809E-4</v>
      </c>
      <c r="E18" s="451"/>
      <c r="F18" s="145">
        <f>D15+(MIN(D4,0)*Data!C$4/Dashboard!I5)</f>
        <v>3.998669968655578</v>
      </c>
      <c r="G18" s="144">
        <f>SUM(D16:D18)</f>
        <v>-1.4636614743330414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8.3333333333333329E-2</v>
      </c>
      <c r="D22" s="277">
        <v>12</v>
      </c>
      <c r="E22" s="202">
        <f ca="1">IF(G9&lt;0,G9,G9*D22/G11)</f>
        <v>18.667487110060552</v>
      </c>
      <c r="F22" s="342">
        <f ca="1">E22+$G$16</f>
        <v>21.202495604383088</v>
      </c>
      <c r="G22" s="345">
        <f ca="1">ROUND(F22*Exchange_Rate,2)</f>
        <v>21.2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24.889982813414068</v>
      </c>
      <c r="F23" s="343">
        <f ca="1">E23+$G$16</f>
        <v>27.424991307736605</v>
      </c>
      <c r="G23" s="348">
        <f ca="1">ROUND(F23*Exchange_Rate,2)</f>
        <v>27.42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23.942300680272108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20.674570262341472</v>
      </c>
      <c r="D27" s="117" t="str">
        <f>Dashboard!J4</f>
        <v>HKD</v>
      </c>
      <c r="E27" s="118">
        <f ca="1">(C27-G16)/C9</f>
        <v>13.927257054597248</v>
      </c>
      <c r="F27" s="155">
        <f ca="1">C27/(Data!C28*Exchange_Rate*Data!C4/Common_Shares)</f>
        <v>0.99322989471650613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 ca="1">IF(G9&lt;0,G9,G9*18/G11)</f>
        <v>28.001230665090826</v>
      </c>
      <c r="D30" s="334" t="str">
        <f>D27</f>
        <v>HKD</v>
      </c>
      <c r="E30" s="118">
        <f ca="1">(C30-G16)/C9</f>
        <v>19.55254635793268</v>
      </c>
      <c r="F30" s="155">
        <f ca="1">C30/(Asset_Model!I3*Exchange_Rate*Data!C4/Common_Shares)</f>
        <v>1.3451561875917046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23.904780199091036</v>
      </c>
      <c r="D31" s="334" t="str">
        <f>D30</f>
        <v>HKD</v>
      </c>
      <c r="E31" s="118">
        <f ca="1">(C31-G16)/C9</f>
        <v>16.407359093707246</v>
      </c>
      <c r="F31" s="155">
        <f ca="1">C31/(Asset_Model!I3*Exchange_Rate*Data!C4/Common_Shares)</f>
        <v>1.1483660622786653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16.539656209873179</v>
      </c>
      <c r="D32" s="334" t="str">
        <f>D30</f>
        <v>HKD</v>
      </c>
      <c r="E32" s="118">
        <f ca="1">(C32-G16)/C9</f>
        <v>10.752538081566531</v>
      </c>
      <c r="F32" s="155">
        <f ca="1">C32/(Asset_Model!I3*Exchange_Rate*Data!C4/Common_Shares)</f>
        <v>0.79455153801820599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325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2023-06-30T10:28:00Z</dcterms:modified>
  <cp:category/>
  <cp:contentStatus/>
</cp:coreProperties>
</file>