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101D087-5D3F-409F-9E2E-1D72C5A0CA5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<sst xmlns="http://schemas.openxmlformats.org/spreadsheetml/2006/main" count="411" uniqueCount="342">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</sst>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324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325</v>
      </c>
      <c r="D4" s="414"/>
      <c r="E4" s="6"/>
      <c r="G4" s="5" t="s">
        <v>5</v>
      </c>
      <c r="I4" s="32">
        <v>1.65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3">
        <v>1333330048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2199.9945791999999</v>
      </c>
      <c r="J6" s="424"/>
      <c r="K6" s="148"/>
    </row>
    <row r="7" spans="1:12" ht="15.75" customHeight="1">
      <c r="B7" s="136" t="s">
        <v>10</v>
      </c>
      <c r="C7" s="142">
        <f>(Data!C39*Exchange_Rate)/I4</f>
        <v>4.7251888191836358E-2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31.430241699900016</v>
      </c>
      <c r="J9" s="48">
        <f>IF(I9="NNI","NNI",1/I9)</f>
        <v>3.1816490930872514E-2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0.72150549343901371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1.0813549757003784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1.6926365908805852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1.65</v>
      </c>
      <c r="C16" s="404">
        <v>0.25</v>
      </c>
      <c r="D16" s="156">
        <f>I35/B16-(1+J25)</f>
        <v>-7.7904274414659413E-2</v>
      </c>
      <c r="E16" s="395" t="s">
        <v>23</v>
      </c>
      <c r="F16" s="425">
        <f>('FCFF Model'!G16)*Exchange_Rate</f>
        <v>1.8882505298758976</v>
      </c>
      <c r="G16" s="395" t="s">
        <v>24</v>
      </c>
      <c r="H16" s="355">
        <f>B16-$F$16</f>
        <v>-0.23825052987589768</v>
      </c>
      <c r="I16" s="390">
        <v>2.5100000000000001E-2</v>
      </c>
      <c r="J16" s="158">
        <f>I16/B16</f>
        <v>1.5212121212121213E-2</v>
      </c>
    </row>
    <row r="17" spans="1:10" ht="15.75" customHeight="1">
      <c r="B17" s="269">
        <f>(I35+I36)/2</f>
        <v>1.60278360996014</v>
      </c>
      <c r="C17" s="405"/>
      <c r="D17" s="268">
        <f>I35/B17-(1+J25)</f>
        <v>-4.48484650639418E-2</v>
      </c>
      <c r="E17" s="396"/>
      <c r="F17" s="426"/>
      <c r="G17" s="396"/>
      <c r="H17" s="356">
        <f>B17-$F$16</f>
        <v>-0.28546691991575757</v>
      </c>
      <c r="I17" s="391"/>
      <c r="J17" s="159">
        <f>I16/B17</f>
        <v>1.566025497392266E-2</v>
      </c>
    </row>
    <row r="18" spans="1:10" ht="15.75" customHeight="1">
      <c r="B18" s="323">
        <f>C35</f>
        <v>1.37</v>
      </c>
      <c r="C18" s="406"/>
      <c r="D18" s="157">
        <f>I35/B18-(1+J25)</f>
        <v>0.15142915855168737</v>
      </c>
      <c r="E18" s="397"/>
      <c r="F18" s="427"/>
      <c r="G18" s="397"/>
      <c r="H18" s="357">
        <f>B18-$F$16</f>
        <v>-0.51825052987589748</v>
      </c>
      <c r="I18" s="392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329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330</v>
      </c>
      <c r="D22" s="364"/>
      <c r="E22" s="364"/>
      <c r="F22" s="364"/>
      <c r="G22" s="380" t="s">
        <v>331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416">
        <v>44932</v>
      </c>
      <c r="D26" s="417"/>
      <c r="E26" s="401" t="str">
        <f>IF(C26="","","Action_Planning")</f>
        <v>Action_Planning</v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0.15509090909090908</v>
      </c>
      <c r="D27" s="375"/>
      <c r="E27" s="388">
        <f>E31/D25</f>
        <v>0.12454545454545454</v>
      </c>
      <c r="F27" s="375"/>
      <c r="G27" s="399">
        <f>G31/D25</f>
        <v>0</v>
      </c>
      <c r="H27" s="400"/>
      <c r="I27" s="398">
        <f>C27+E27+G27</f>
        <v>0.27963636363636363</v>
      </c>
      <c r="J27" s="398"/>
    </row>
    <row r="28" spans="1:10" ht="15.75" customHeight="1">
      <c r="B28" s="23" t="s">
        <v>34</v>
      </c>
      <c r="C28" s="363">
        <v>60000</v>
      </c>
      <c r="D28" s="364"/>
      <c r="E28" s="363">
        <v>60000</v>
      </c>
      <c r="F28" s="364"/>
      <c r="G28" s="383"/>
      <c r="H28" s="384"/>
      <c r="I28" s="377">
        <f>C28+E28+G28</f>
        <v>120000</v>
      </c>
      <c r="J28" s="377"/>
    </row>
    <row r="29" spans="1:10" ht="15.75" customHeight="1">
      <c r="B29" s="23" t="s">
        <v>35</v>
      </c>
      <c r="C29" s="365">
        <v>1.706</v>
      </c>
      <c r="D29" s="364"/>
      <c r="E29" s="365">
        <v>1.37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2274.6610618879999</v>
      </c>
      <c r="D30" s="362"/>
      <c r="E30" s="361">
        <f>E29*$I$5/1000000</f>
        <v>1826.6621657600003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102360</v>
      </c>
      <c r="D31" s="371"/>
      <c r="E31" s="372">
        <f>E28*E29</f>
        <v>82200</v>
      </c>
      <c r="F31" s="373"/>
      <c r="G31" s="409">
        <f>G28*G29</f>
        <v>0</v>
      </c>
      <c r="H31" s="410"/>
      <c r="I31" s="372">
        <f>C31+E31+G31</f>
        <v>184560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1.538</v>
      </c>
      <c r="F32" s="375"/>
      <c r="G32" s="115"/>
      <c r="H32" s="115"/>
      <c r="I32" s="374">
        <f>IF(I31=0,"",I31/I28)</f>
        <v>1.538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2050.6616138240001</v>
      </c>
      <c r="F33" s="362"/>
      <c r="G33" s="116"/>
      <c r="H33" s="116"/>
      <c r="I33" s="361">
        <f>IF(I32="","",I32*$I$5/1000000)</f>
        <v>2050.6616138240001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1.37</v>
      </c>
      <c r="D35" s="435"/>
      <c r="G35" s="436" t="s">
        <v>317</v>
      </c>
      <c r="H35" s="437"/>
      <c r="I35" s="432">
        <f>'FCFF Model'!C31</f>
        <v>1.8514579472158119</v>
      </c>
      <c r="J35" s="433"/>
    </row>
    <row r="36" spans="2:11" ht="15.75" customHeight="1">
      <c r="B36" s="143" t="s">
        <v>318</v>
      </c>
      <c r="C36" s="434">
        <f>E32</f>
        <v>1.538</v>
      </c>
      <c r="D36" s="435"/>
      <c r="G36" s="431" t="s">
        <v>315</v>
      </c>
      <c r="H36" s="431"/>
      <c r="I36" s="432">
        <f>'FCFF Model'!C32</f>
        <v>1.3541092727044681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8.5262571638811124E-2</v>
      </c>
      <c r="F45" s="332">
        <f>I35/C36-1</f>
        <v>0.20380880833277759</v>
      </c>
    </row>
    <row r="46" spans="2:11" ht="15.75" customHeight="1">
      <c r="B46" s="3" t="s">
        <v>300</v>
      </c>
      <c r="E46" s="329">
        <f>I36/C29-1</f>
        <v>-0.20626654589421567</v>
      </c>
      <c r="F46" s="332">
        <f>I36/C36-1</f>
        <v>-0.11956484219475416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0.56143944238711041</v>
      </c>
      <c r="F48" s="329">
        <f>IF(F45&lt;=0,0,AVERAGE(F39:F41,1-F42,F45/J25))</f>
        <v>0.67998567908107688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0.41336112586351376</v>
      </c>
      <c r="F49" s="328">
        <f>IF(F46&gt;=0,100,F45/ABS(F46))</f>
        <v>1.704588109611703</v>
      </c>
      <c r="G49" s="73"/>
    </row>
    <row r="50" spans="2:9" ht="15.75" customHeight="1">
      <c r="B50" s="3" t="s">
        <v>340</v>
      </c>
      <c r="E50" s="358">
        <f>MAX(J25*2/E45,1)</f>
        <v>4.6913902819454947</v>
      </c>
      <c r="F50" s="358">
        <f>MAX(J25*2/F45,1)</f>
        <v>1.9626237122533137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0.25081152289034087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2.280966874732107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1.5017683080016251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-639521.42079999996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1.6926365908805852</v>
      </c>
      <c r="D27" s="117" t="str">
        <f>Dashboard!J4</f>
        <v>HKD</v>
      </c>
      <c r="E27" s="118">
        <f>(C27-G16)/C9</f>
        <v>-210.44942723527626</v>
      </c>
      <c r="F27" s="155">
        <f>C27/(Data!C28*Exchange_Rate*Data!C4/Common_Shares)</f>
        <v>0.74014945376741015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2.0528701872588964</v>
      </c>
      <c r="D30" s="334" t="str">
        <f>D27</f>
        <v>HKD</v>
      </c>
      <c r="E30" s="118">
        <f>(C30-G16)/C9</f>
        <v>1205.1820234558872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1.8514579472158119</v>
      </c>
      <c r="D31" s="334" t="str">
        <f>D30</f>
        <v>HKD</v>
      </c>
      <c r="E31" s="118">
        <f>(C31-G16)/C9</f>
        <v>413.68033003883426</v>
      </c>
      <c r="F31" s="155">
        <f>C31/(Asset_Model!I3*Exchange_Rate*Data!C4/Common_Shares)</f>
        <v>0.81169874395184294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1.3541092727044681</v>
      </c>
      <c r="D32" s="334" t="str">
        <f>D30</f>
        <v>HKD</v>
      </c>
      <c r="E32" s="118">
        <f>(C32-G16)/C9</f>
        <v>-1540.7804217518635</v>
      </c>
      <c r="F32" s="155">
        <f>C32/(Asset_Model!I3*Exchange_Rate*Data!C4/Common_Shares)</f>
        <v>0.59365582538918038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2023-06-30T10:28:05Z</dcterms:modified>
  <cp:category/>
  <cp:contentStatus/>
</cp:coreProperties>
</file>