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897EAD0E-A6E3-4AEA-89F1-36264E27E9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7" i="3" l="1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<sst xmlns="http://schemas.openxmlformats.org/spreadsheetml/2006/main" count="394" uniqueCount="332">
  <si>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</si>
  <si>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</si>
  <si>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</si>
  <si>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</si>
  <si>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</si>
  <si>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</si>
  <si>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</si>
  <si>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</si>
  <si>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</si>
  <si>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</si>
  <si>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</si>
  <si>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</si>
  <si>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</si>
  <si>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</si>
  <si>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</si>
  <si>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</si>
  <si>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</si>
  <si>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</si>
  <si>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</si>
  <si>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</si>
  <si>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</si>
  <si>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</si>
  <si>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</si>
  <si>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</si>
  <si>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</si>
  <si>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</si>
  <si>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</si>
  <si>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</si>
  <si>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</si>
  <si>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</si>
  <si>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</si>
  <si>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</si>
  <si>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</si>
  <si>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</si>
  <si>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</si>
  <si>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</si>
  <si>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</si>
  <si>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</si>
  <si>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</si>
  <si>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</si>
  <si>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</si>
  <si>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</si>
  <si>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</si>
  <si>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</si>
  <si>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</si>
  <si>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</si>
  <si>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</si>
  <si>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</si>
  <si>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</si>
  <si>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</si>
  <si>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</si>
  <si>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</si>
  <si>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</si>
  <si>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</si>
  <si>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</si>
  <si>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</si>
  <si>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</si>
  <si>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</si>
  <si>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</si>
  <si>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</si>
  <si>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</si>
  <si>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</si>
  <si>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</si>
  <si>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</si>
  <si>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</si>
  <si>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</si>
  <si>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</si>
  <si>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</si>
  <si>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</si>
  <si>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</si>
  <si>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</si>
  <si>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</si>
  <si>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</si>
  <si>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</si>
  <si>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</si>
  <si>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</si>
  <si>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</si>
  <si>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</si>
  <si>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</si>
  <si>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</si>
  <si>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</si>
  <si>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</si>
  <si>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</si>
  <si>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</si>
  <si>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</si>
  <si>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</si>
  <si>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</si>
  <si>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</si>
  <si>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</si>
  <si>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</si>
  <si>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</si>
  <si>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</si>
  <si>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</si>
  <si>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</si>
  <si>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</si>
  <si>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</si>
  <si>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</si>
  <si>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</si>
  <si>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</si>
  <si>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</si>
  <si>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</si>
  <si>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</si>
  <si>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</si>
  <si>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</si>
  <si>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</si>
  <si>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</si>
  <si>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</si>
  <si>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</si>
  <si>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</si>
  <si>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</si>
  <si>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</si>
  <si>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</si>
  <si>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</si>
  <si>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</si>
  <si>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</si>
  <si>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</si>
  <si>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</si>
  <si>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</si>
  <si>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</si>
  <si>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</si>
  <si>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</si>
  <si>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</si>
  <si>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</si>
  <si>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</si>
  <si>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</si>
  <si>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</si>
  <si>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</si>
  <si>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</si>
  <si>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</si>
  <si>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</si>
  <si>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</si>
  <si>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</si>
  <si>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</si>
  <si>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</si>
  <si>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</si>
  <si>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</si>
  <si>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</si>
  <si>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</si>
  <si>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</si>
  <si>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</si>
  <si>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</si>
  <si>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</si>
  <si>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</si>
  <si>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</si>
  <si>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</si>
  <si>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</si>
  <si>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</si>
  <si>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</si>
  <si>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</si>
  <si>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</si>
  <si>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</si>
  <si>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</si>
  <si>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</si>
  <si>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</si>
  <si>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</si>
  <si>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</si>
  <si>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</si>
  <si>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</si>
  <si>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</si>
  <si>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</si>
  <si>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</si>
  <si>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</si>
  <si>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</si>
  <si>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</si>
  <si>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</si>
  <si>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</si>
  <si>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</si>
  <si>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</si>
  <si>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</si>
  <si>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</si>
  <si>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</si>
  <si>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</si>
  <si>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</si>
  <si>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</si>
  <si>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</si>
  <si>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</si>
  <si>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</si>
  <si>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</si>
  <si>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</si>
  <si>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</si>
  <si>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</si>
  <si>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</si>
  <si>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</si>
  <si>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</si>
  <si>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</si>
  <si>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</si>
  <si>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</si>
  <si>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</si>
  <si>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</si>
  <si>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</si>
  <si>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</si>
  <si>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</si>
  <si>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</si>
  <si>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</si>
  <si>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</si>
  <si>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</si>
  <si>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</si>
  <si>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</si>
  <si>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</si>
  <si>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</si>
  <si>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</si>
  <si>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</si>
  <si>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</si>
  <si>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</si>
  <si>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</si>
  <si>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</si>
  <si>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</si>
  <si>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</si>
  <si>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</si>
  <si>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</si>
  <si>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</si>
  <si>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</si>
  <si>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</si>
  <si>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</si>
  <si>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</si>
  <si>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</si>
  <si>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</si>
  <si>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</si>
  <si>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</si>
  <si>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</si>
  <si>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</si>
  <si>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</si>
  <si>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</si>
  <si>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</si>
  <si>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</si>
  <si>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</si>
  <si>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</si>
  <si>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</si>
  <si>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</si>
  <si>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</si>
  <si>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</si>
  <si>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</si>
  <si>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</si>
  <si>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</si>
  <si>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</si>
  <si>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</si>
  <si>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</si>
  <si>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</si>
  <si>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</si>
  <si>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</si>
  <si>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</si>
  <si>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</si>
  <si>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</si>
  <si>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</si>
  <si>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</si>
  <si>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</si>
  <si>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</si>
  <si>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</si>
  <si>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</si>
  <si>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</si>
  <si>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</si>
  <si>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</si>
  <si>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</si>
  <si>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</si>
  <si>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</si>
  <si>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</si>
  <si>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</si>
  <si>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</si>
  <si>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</si>
  <si>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</si>
  <si>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</si>
  <si>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</si>
  <si>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</si>
  <si>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</si>
  <si>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</si>
  <si>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</si>
  <si>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</si>
  <si>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</si>
  <si>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</si>
  <si>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</si>
  <si>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</si>
  <si>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</si>
  <si>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</si>
  <si>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</si>
  <si>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</si>
  <si>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</si>
  <si>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</si>
  <si>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</si>
  <si>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</si>
  <si>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</si>
  <si>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</si>
  <si>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</si>
  <si>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</si>
  <si>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</si>
  <si>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</si>
  <si>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</si>
  <si>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</si>
  <si>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</si>
  <si>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</si>
  <si>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</si>
  <si>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</si>
  <si>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</si>
  <si>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</si>
  <si>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</si>
  <si>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</si>
  <si>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</si>
  <si>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</si>
  <si>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</si>
  <si>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</si>
  <si>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</si>
  <si>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</si>
  <si>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</si>
  <si>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</si>
  <si>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</si>
  <si>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</si>
  <si>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</si>
  <si>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</si>
  <si>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</si>
  <si>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</si>
  <si>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</si>
  <si>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</si>
  <si>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</si>
  <si>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</si>
  <si>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</si>
  <si>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</si>
  <si>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</si>
  <si>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</si>
  <si>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</si>
  <si>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</si>
  <si>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</si>
  <si>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</si>
  <si>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</si>
  <si>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</si>
  <si>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</si>
  <si>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</si>
  <si>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</si>
  <si>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</si>
  <si>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</si>
  <si>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</si>
  <si>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</si>
  <si>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ST LCR Ratio</t>
  </si>
  <si>
    <t>LT LCR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</si>
</sst>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10" sqref="C1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8" t="s">
        <v>304</v>
      </c>
      <c r="D3" s="389"/>
      <c r="E3" s="15"/>
      <c r="G3" s="7" t="s">
        <v>2</v>
      </c>
      <c r="I3" s="396" t="s">
        <v>3</v>
      </c>
      <c r="J3" s="397"/>
    </row>
    <row r="4" spans="1:12" ht="15.75" customHeight="1" x14ac:dyDescent="0.3">
      <c r="B4" s="5" t="s">
        <v>4</v>
      </c>
      <c r="C4" s="390" t="s">
        <v>305</v>
      </c>
      <c r="D4" s="391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2">
        <v>44987</v>
      </c>
      <c r="D5" s="391"/>
      <c r="E5" s="122" t="str">
        <f ca="1">IF(C5+30&gt;=TODAY(),"Patience Premium","")</f>
        <v>Patience Premium</v>
      </c>
      <c r="G5" s="5" t="s">
        <v>8</v>
      </c>
      <c r="I5" s="398">
        <v>7913203590</v>
      </c>
      <c r="J5" s="399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0">
        <f>I4*I5/1000000</f>
        <v>130567.859235</v>
      </c>
      <c r="J6" s="401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269</v>
      </c>
      <c r="C10" s="300" t="s">
        <v>270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273</v>
      </c>
      <c r="C11" s="410">
        <f ca="1">C12-D10</f>
        <v>6.6799999999999998E-2</v>
      </c>
      <c r="D11" s="411"/>
      <c r="E11" s="13"/>
      <c r="G11" s="5" t="s">
        <v>15</v>
      </c>
      <c r="H11" s="6"/>
      <c r="I11" s="408" t="s">
        <v>306</v>
      </c>
      <c r="J11" s="409"/>
    </row>
    <row r="12" spans="1:12" ht="15.75" customHeight="1" thickTop="1" x14ac:dyDescent="0.3">
      <c r="B12" s="314" t="s">
        <v>145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9">
        <v>0.1</v>
      </c>
      <c r="D16" s="159">
        <f ca="1">H14/B16-1-C16</f>
        <v>9.2824349864347816E-2</v>
      </c>
      <c r="E16" s="372">
        <f>'FCFF Model'!D11*Exchange_Rate</f>
        <v>0</v>
      </c>
      <c r="F16" s="161">
        <f>E16/B16</f>
        <v>0</v>
      </c>
      <c r="G16" s="382" t="s">
        <v>25</v>
      </c>
      <c r="H16" s="402">
        <f>('FCFF Model'!G19)*Exchange_Rate</f>
        <v>-2.308568405350901</v>
      </c>
      <c r="I16" s="38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380"/>
      <c r="D17" s="289">
        <f ca="1">H14/B17-1-C16</f>
        <v>0</v>
      </c>
      <c r="E17" s="373"/>
      <c r="F17" s="162">
        <f ca="1">E16/B17</f>
        <v>0</v>
      </c>
      <c r="G17" s="383"/>
      <c r="H17" s="403"/>
      <c r="I17" s="38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81"/>
      <c r="D18" s="160">
        <f ca="1">H14/B18-1-C16</f>
        <v>0.21210678485078258</v>
      </c>
      <c r="E18" s="374"/>
      <c r="F18" s="163">
        <f>E16/B18</f>
        <v>0</v>
      </c>
      <c r="G18" s="384"/>
      <c r="H18" s="404"/>
      <c r="I18" s="38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307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3"/>
      <c r="D21" s="394"/>
      <c r="E21" s="394"/>
      <c r="F21" s="394"/>
      <c r="G21" s="394"/>
      <c r="H21" s="394"/>
      <c r="I21" s="394"/>
      <c r="J21" s="395"/>
    </row>
    <row r="22" spans="1:10" ht="52.5" customHeight="1" x14ac:dyDescent="0.3">
      <c r="A22" s="6"/>
      <c r="B22" s="24" t="s">
        <v>29</v>
      </c>
      <c r="C22" s="406"/>
      <c r="D22" s="407"/>
      <c r="E22" s="407"/>
      <c r="F22" s="407"/>
      <c r="G22" s="406"/>
      <c r="H22" s="406"/>
      <c r="I22" s="407"/>
      <c r="J22" s="407"/>
    </row>
    <row r="23" spans="1:10" ht="52.5" customHeight="1" x14ac:dyDescent="0.3">
      <c r="A23" s="6"/>
      <c r="B23" s="25" t="s">
        <v>30</v>
      </c>
      <c r="C23" s="375"/>
      <c r="D23" s="376"/>
      <c r="E23" s="376"/>
      <c r="F23" s="376"/>
      <c r="G23" s="375"/>
      <c r="H23" s="375"/>
      <c r="I23" s="376"/>
      <c r="J23" s="37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319</v>
      </c>
      <c r="G25" s="12"/>
      <c r="H25" s="354">
        <v>0.15</v>
      </c>
      <c r="I25" s="30" t="s">
        <v>320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77"/>
      <c r="D26" s="378"/>
      <c r="E26" s="377"/>
      <c r="F26" s="378"/>
      <c r="G26" s="367"/>
      <c r="H26" s="368"/>
      <c r="I26" s="405" t="s">
        <v>34</v>
      </c>
      <c r="J26" s="405"/>
    </row>
    <row r="27" spans="1:10" ht="15.75" customHeight="1" x14ac:dyDescent="0.3">
      <c r="B27" s="23" t="s">
        <v>35</v>
      </c>
      <c r="C27" s="371">
        <f>C31/D25</f>
        <v>5.5E-2</v>
      </c>
      <c r="D27" s="370"/>
      <c r="E27" s="369">
        <f>E31/D25</f>
        <v>0.1</v>
      </c>
      <c r="F27" s="370"/>
      <c r="G27" s="386">
        <f>G31/D25</f>
        <v>0</v>
      </c>
      <c r="H27" s="387"/>
      <c r="I27" s="385">
        <f>C27+E27+G27</f>
        <v>0.155</v>
      </c>
      <c r="J27" s="385"/>
    </row>
    <row r="28" spans="1:10" ht="15.75" customHeight="1" x14ac:dyDescent="0.3">
      <c r="B28" s="23" t="s">
        <v>36</v>
      </c>
      <c r="C28" s="359">
        <v>2000</v>
      </c>
      <c r="D28" s="407"/>
      <c r="E28" s="359">
        <v>4000</v>
      </c>
      <c r="F28" s="407"/>
      <c r="G28" s="398"/>
      <c r="H28" s="399"/>
      <c r="I28" s="422">
        <f>C28+E28+G28</f>
        <v>6000</v>
      </c>
      <c r="J28" s="422"/>
    </row>
    <row r="29" spans="1:10" ht="15.75" customHeight="1" x14ac:dyDescent="0.3">
      <c r="B29" s="23" t="s">
        <v>37</v>
      </c>
      <c r="C29" s="432">
        <v>16.5</v>
      </c>
      <c r="D29" s="407"/>
      <c r="E29" s="432">
        <v>15</v>
      </c>
      <c r="F29" s="407"/>
      <c r="G29" s="412"/>
      <c r="H29" s="413"/>
      <c r="I29" s="418"/>
      <c r="J29" s="418"/>
    </row>
    <row r="30" spans="1:10" ht="15.75" customHeight="1" x14ac:dyDescent="0.3">
      <c r="B30" s="23" t="s">
        <v>38</v>
      </c>
      <c r="C30" s="420">
        <f>C29*$I$5/1000000</f>
        <v>130567.859235</v>
      </c>
      <c r="D30" s="427"/>
      <c r="E30" s="420">
        <f>E29*$I$5/1000000</f>
        <v>118698.05385</v>
      </c>
      <c r="F30" s="427"/>
      <c r="G30" s="414">
        <f>G29*$I$5/1000000</f>
        <v>0</v>
      </c>
      <c r="H30" s="415"/>
      <c r="I30" s="419"/>
      <c r="J30" s="419"/>
    </row>
    <row r="31" spans="1:10" ht="15.75" customHeight="1" x14ac:dyDescent="0.3">
      <c r="B31" s="2" t="s">
        <v>39</v>
      </c>
      <c r="C31" s="428">
        <f>C28*C29</f>
        <v>33000</v>
      </c>
      <c r="D31" s="429"/>
      <c r="E31" s="421">
        <f>E28*E29</f>
        <v>60000</v>
      </c>
      <c r="F31" s="430"/>
      <c r="G31" s="416">
        <f>G28*G29</f>
        <v>0</v>
      </c>
      <c r="H31" s="417"/>
      <c r="I31" s="421">
        <f>C31+E31+G31</f>
        <v>93000</v>
      </c>
      <c r="J31" s="421"/>
    </row>
    <row r="32" spans="1:10" ht="15.75" customHeight="1" x14ac:dyDescent="0.3">
      <c r="B32" s="1" t="s">
        <v>40</v>
      </c>
      <c r="C32" s="423"/>
      <c r="D32" s="424"/>
      <c r="E32" s="431">
        <f>IF(C31=0,"-",(C31+E31)/(C28+E28))</f>
        <v>15.5</v>
      </c>
      <c r="F32" s="370"/>
      <c r="G32" s="117"/>
      <c r="H32" s="117"/>
      <c r="I32" s="431">
        <f>IF(I31=0,"",I31/I28)</f>
        <v>15.5</v>
      </c>
      <c r="J32" s="431"/>
    </row>
    <row r="33" spans="2:11" ht="15.75" customHeight="1" x14ac:dyDescent="0.3">
      <c r="B33" s="1" t="s">
        <v>41</v>
      </c>
      <c r="C33" s="425"/>
      <c r="D33" s="426"/>
      <c r="E33" s="420">
        <f>IF(E32="-","-",E32*$I$5/1000000)</f>
        <v>122654.65564500001</v>
      </c>
      <c r="F33" s="427"/>
      <c r="G33" s="118"/>
      <c r="H33" s="118"/>
      <c r="I33" s="420">
        <f>IF(I32="","",I32*$I$5/1000000)</f>
        <v>122654.65564500001</v>
      </c>
      <c r="J33" s="420"/>
    </row>
    <row r="34" spans="2:11" ht="15.75" customHeight="1" x14ac:dyDescent="0.3"/>
    <row r="35" spans="2:11" ht="15.75" customHeight="1" x14ac:dyDescent="0.3">
      <c r="B35" s="146" t="s">
        <v>321</v>
      </c>
      <c r="C35" s="357">
        <v>15</v>
      </c>
      <c r="D35" s="358"/>
      <c r="G35" s="363" t="s">
        <v>323</v>
      </c>
      <c r="H35" s="364"/>
      <c r="I35" s="357">
        <f ca="1">'FCFF Model'!C34*0.8</f>
        <v>32.908772587762407</v>
      </c>
      <c r="J35" s="358"/>
    </row>
    <row r="36" spans="2:11" ht="15.75" customHeight="1" x14ac:dyDescent="0.3">
      <c r="B36" s="146" t="s">
        <v>322</v>
      </c>
      <c r="C36" s="359"/>
      <c r="D36" s="360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5:D35"/>
    <mergeCell ref="C36:D36"/>
    <mergeCell ref="I35:J35"/>
    <mergeCell ref="J38:K38"/>
    <mergeCell ref="G35:H35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11" sqref="H11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324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325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326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327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328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329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3">
        <f>D53+D54+D55</f>
        <v>8694432</v>
      </c>
      <c r="E52" s="434"/>
      <c r="F52" s="53"/>
      <c r="G52" s="53"/>
    </row>
    <row r="53" spans="2:9" ht="14.5" thickTop="1" x14ac:dyDescent="0.3">
      <c r="B53" s="58" t="s">
        <v>231</v>
      </c>
      <c r="C53" s="6"/>
      <c r="D53" s="436">
        <f>SUM(I11:I13)+SUM(I28:I30)</f>
        <v>8694432</v>
      </c>
      <c r="E53" s="429"/>
      <c r="F53" s="5"/>
      <c r="G53" s="5"/>
      <c r="H53" s="3" t="s">
        <v>268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3">
        <v>0</v>
      </c>
      <c r="E54" s="407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3">
        <v>0</v>
      </c>
      <c r="E55" s="407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5"/>
      <c r="E57" s="435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1">
        <f>((Dashboard!I6*Data!C4)+D52+E50-C58-C59)</f>
        <v>128260855.23500001</v>
      </c>
      <c r="E60" s="44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9">
        <f>((C26-C11-C12-C14-C15-C16*G16-C19*G19-C20*G20)-I26)/Data!C7</f>
        <v>-0.64687443506582265</v>
      </c>
      <c r="E63" s="440"/>
    </row>
    <row r="64" spans="2:9" ht="15" customHeight="1" x14ac:dyDescent="0.3">
      <c r="B64" s="3" t="s">
        <v>262</v>
      </c>
      <c r="D64" s="437">
        <v>6.3399999999999998E-2</v>
      </c>
      <c r="E64" s="438"/>
      <c r="F64" s="266" t="s">
        <v>247</v>
      </c>
    </row>
    <row r="65" spans="2:5" ht="15" customHeight="1" x14ac:dyDescent="0.3">
      <c r="B65" s="292" t="s">
        <v>264</v>
      </c>
      <c r="D65" s="437">
        <f>D63</f>
        <v>-0.64687443506582265</v>
      </c>
      <c r="E65" s="43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308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309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302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6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6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0" t="s">
        <v>226</v>
      </c>
      <c r="F23" s="450"/>
      <c r="G23" s="45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296</v>
      </c>
      <c r="C25" s="14">
        <f>1/D25</f>
        <v>0.05</v>
      </c>
      <c r="D25" s="298">
        <v>20</v>
      </c>
      <c r="E25" s="206">
        <f ca="1">G9*D25/G14</f>
        <v>1.6233560592885623</v>
      </c>
      <c r="F25" s="447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297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8"/>
      <c r="G26" s="352">
        <f ca="1">$F$25+E26+$G$19</f>
        <v>3.447397142838577</v>
      </c>
      <c r="I26" s="74" t="s">
        <v>312</v>
      </c>
    </row>
    <row r="27" spans="1:9" ht="15.75" customHeight="1" x14ac:dyDescent="0.3">
      <c r="B27" s="302" t="s">
        <v>310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49"/>
      <c r="G27" s="207">
        <f ca="1">$F$25+E27+$G$19</f>
        <v>4.6649141873049986</v>
      </c>
      <c r="I27" s="74" t="s">
        <v>311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4" t="s">
        <v>148</v>
      </c>
      <c r="D32" s="445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313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315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316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317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318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2023-03-15T11:22:19Z</dcterms:modified>
  <cp:category/>
  <cp:contentStatus/>
</cp:coreProperties>
</file>