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8D924C7B-6941-4B38-8059-1A3D69A419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5" i="3" l="1"/>
  <c r="C33" i="2"/>
  <c r="C34" i="2"/>
  <c r="C14" i="2"/>
  <c r="C16" i="2"/>
  <c r="C35" i="2"/>
  <c r="C6" i="4"/>
  <c r="I10" i="1"/>
  <c r="D4" i="3"/>
  <c r="C50" i="3"/>
  <c r="E50" i="3"/>
  <c r="E11" i="3"/>
  <c r="E12" i="3"/>
  <c r="E13" i="3"/>
  <c r="E14" i="3"/>
  <c r="E15" i="3"/>
  <c r="E16" i="3"/>
  <c r="C17" i="3"/>
  <c r="E17" i="3"/>
  <c r="E18" i="3"/>
  <c r="E19" i="3"/>
  <c r="E20" i="3"/>
  <c r="E21" i="3"/>
  <c r="E22" i="3"/>
  <c r="E26" i="3"/>
  <c r="E29" i="3"/>
  <c r="E30" i="3"/>
  <c r="E31" i="3"/>
  <c r="E32" i="3"/>
  <c r="E33" i="3"/>
  <c r="E34" i="3"/>
  <c r="E35" i="3"/>
  <c r="C36" i="3"/>
  <c r="E36" i="3"/>
  <c r="E37" i="3"/>
  <c r="E38" i="3"/>
  <c r="E39" i="3"/>
  <c r="E40" i="3"/>
  <c r="E42" i="3"/>
  <c r="E46" i="3"/>
  <c r="I46" i="3"/>
  <c r="E4" i="7"/>
  <c r="E5" i="7"/>
  <c r="E6" i="7"/>
  <c r="E7" i="7"/>
  <c r="E8" i="7"/>
  <c r="C8" i="7"/>
  <c r="C11" i="7"/>
  <c r="E11" i="7"/>
  <c r="E10" i="7"/>
  <c r="E12" i="7"/>
  <c r="C14" i="7"/>
  <c r="E14" i="7"/>
  <c r="E17" i="7"/>
  <c r="E20" i="7"/>
  <c r="D4" i="4"/>
  <c r="D6" i="3"/>
  <c r="D7" i="3"/>
  <c r="C21" i="4"/>
  <c r="E59" i="3"/>
  <c r="C18" i="4"/>
  <c r="G19" i="3"/>
  <c r="G20" i="3"/>
  <c r="G31" i="3"/>
  <c r="G33" i="3"/>
  <c r="G34" i="3"/>
  <c r="G35" i="3"/>
  <c r="E58" i="3"/>
  <c r="C19" i="4"/>
  <c r="D53" i="3"/>
  <c r="D52" i="3"/>
  <c r="C20" i="4"/>
  <c r="G18" i="4"/>
  <c r="G19" i="4"/>
  <c r="G29" i="4"/>
  <c r="I17" i="7"/>
  <c r="I20" i="7"/>
  <c r="F4" i="4"/>
  <c r="G17" i="7"/>
  <c r="G20" i="7"/>
  <c r="E4" i="4"/>
  <c r="D7" i="4"/>
  <c r="D8" i="4"/>
  <c r="G8" i="4"/>
  <c r="G9" i="4"/>
  <c r="D3" i="5"/>
  <c r="D4" i="5"/>
  <c r="D12" i="5"/>
  <c r="D13" i="5"/>
  <c r="D14" i="5"/>
  <c r="D15" i="5"/>
  <c r="D16" i="5"/>
  <c r="D5" i="5"/>
  <c r="D24" i="5"/>
  <c r="D25" i="5"/>
  <c r="D26" i="5"/>
  <c r="D27" i="5"/>
  <c r="D28" i="5"/>
  <c r="D6" i="5"/>
  <c r="E24" i="3"/>
  <c r="I15" i="3"/>
  <c r="I24" i="3"/>
  <c r="J24" i="3"/>
  <c r="E25" i="3"/>
  <c r="I25" i="3"/>
  <c r="C26" i="3"/>
  <c r="J25" i="3"/>
  <c r="E44" i="3"/>
  <c r="I44" i="3"/>
  <c r="J44" i="3"/>
  <c r="E45" i="3"/>
  <c r="I45" i="3"/>
  <c r="C42" i="3"/>
  <c r="C46" i="3"/>
  <c r="J45" i="3"/>
  <c r="J26" i="3"/>
  <c r="D18" i="5"/>
  <c r="D19" i="5"/>
  <c r="D20" i="5"/>
  <c r="D21" i="5"/>
  <c r="D22" i="5"/>
  <c r="D31" i="5"/>
  <c r="D32" i="5"/>
  <c r="D33" i="5"/>
  <c r="D34" i="5"/>
  <c r="D35" i="5"/>
  <c r="D30" i="5"/>
  <c r="D37" i="5"/>
  <c r="D38" i="5"/>
  <c r="D39" i="5"/>
  <c r="D40" i="5"/>
  <c r="D41" i="5"/>
  <c r="D36" i="5"/>
  <c r="D43" i="5"/>
  <c r="D44" i="5"/>
  <c r="D45" i="5"/>
  <c r="D46" i="5"/>
  <c r="D47" i="5"/>
  <c r="D48" i="5"/>
  <c r="D42" i="5"/>
  <c r="D50" i="5"/>
  <c r="D51" i="5"/>
  <c r="D52" i="5"/>
  <c r="D53" i="5"/>
  <c r="B69" i="5"/>
  <c r="B70" i="5"/>
  <c r="B71" i="5"/>
  <c r="E71" i="5"/>
  <c r="D54" i="5" a="1"/>
  <c r="D54" i="5"/>
  <c r="D49" i="5"/>
  <c r="D56" i="5"/>
  <c r="D57" i="5"/>
  <c r="D58" i="5"/>
  <c r="D59" i="5"/>
  <c r="D60" i="5"/>
  <c r="D61" i="5"/>
  <c r="D55" i="5"/>
  <c r="D62" i="5"/>
  <c r="E64" i="5"/>
  <c r="D64" i="5"/>
  <c r="E7" i="5"/>
  <c r="D7" i="5"/>
  <c r="D8" i="5"/>
  <c r="E8" i="5"/>
  <c r="C35" i="1"/>
  <c r="B18" i="1"/>
  <c r="B15" i="1"/>
  <c r="G24" i="4"/>
  <c r="F24" i="4"/>
  <c r="G34" i="4"/>
  <c r="I16" i="7"/>
  <c r="I3" i="7"/>
  <c r="F3" i="4"/>
  <c r="G3" i="7"/>
  <c r="E3" i="4"/>
  <c r="G4" i="4"/>
  <c r="C12" i="1"/>
  <c r="C11" i="1" s="1"/>
  <c r="F43" i="1"/>
  <c r="F39" i="1"/>
  <c r="F40" i="1"/>
  <c r="F41" i="1"/>
  <c r="E8" i="4"/>
  <c r="E9" i="4"/>
  <c r="E15" i="4"/>
  <c r="F8" i="4"/>
  <c r="F9" i="4"/>
  <c r="F15" i="4"/>
  <c r="B16" i="1"/>
  <c r="D18" i="4"/>
  <c r="F21" i="4"/>
  <c r="C15" i="4"/>
  <c r="F5" i="7"/>
  <c r="F6" i="7"/>
  <c r="F7" i="7"/>
  <c r="F4" i="7"/>
  <c r="D5" i="7"/>
  <c r="D7" i="7"/>
  <c r="D4" i="7"/>
  <c r="D6" i="7"/>
  <c r="E6" i="1"/>
  <c r="C3" i="7"/>
  <c r="E26" i="1"/>
  <c r="C36" i="1"/>
  <c r="E7" i="3"/>
  <c r="C26" i="4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6" i="1"/>
  <c r="C29" i="4"/>
  <c r="C3" i="4"/>
  <c r="E3" i="7"/>
  <c r="B3" i="4"/>
  <c r="C17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3" i="7"/>
  <c r="B3" i="7"/>
  <c r="C12" i="7"/>
  <c r="C17" i="7"/>
  <c r="C20" i="7"/>
  <c r="E9" i="7"/>
  <c r="C4" i="4"/>
  <c r="C7" i="4"/>
  <c r="C8" i="4"/>
  <c r="C9" i="4"/>
  <c r="C19" i="7"/>
  <c r="C15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C24" i="3"/>
  <c r="I8" i="3"/>
  <c r="E18" i="7"/>
  <c r="E19" i="7"/>
  <c r="G10" i="7"/>
  <c r="D20" i="4"/>
  <c r="I53" i="3"/>
  <c r="C44" i="3"/>
  <c r="C25" i="3"/>
  <c r="I7" i="3"/>
  <c r="E16" i="7"/>
  <c r="G12" i="7"/>
  <c r="B24" i="4"/>
  <c r="G2" i="4"/>
  <c r="E15" i="7"/>
  <c r="C45" i="3"/>
  <c r="G16" i="7"/>
  <c r="G18" i="7"/>
  <c r="I18" i="7"/>
  <c r="I19" i="7"/>
  <c r="G15" i="7"/>
  <c r="D5" i="4"/>
  <c r="G19" i="7"/>
  <c r="F5" i="4"/>
  <c r="E5" i="4"/>
  <c r="D43" i="2"/>
  <c r="E43" i="2"/>
  <c r="G27" i="2"/>
  <c r="H27" i="2"/>
  <c r="I27" i="2"/>
  <c r="J27" i="2"/>
  <c r="K27" i="2"/>
  <c r="L27" i="2"/>
  <c r="M27" i="2"/>
  <c r="D59" i="3"/>
  <c r="C42" i="2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5" i="2"/>
  <c r="F32" i="2"/>
  <c r="C13" i="2"/>
  <c r="C12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I9" i="1" s="1"/>
  <c r="J9" i="1" s="1"/>
  <c r="G31" i="1"/>
  <c r="G27" i="1"/>
  <c r="E31" i="1"/>
  <c r="E27" i="1"/>
  <c r="C31" i="1"/>
  <c r="E32" i="1" s="1"/>
  <c r="E33" i="1" s="1"/>
  <c r="G30" i="1"/>
  <c r="E30" i="1"/>
  <c r="C30" i="1"/>
  <c r="I28" i="1"/>
  <c r="I6" i="1"/>
  <c r="C2" i="1"/>
  <c r="D63" i="3"/>
  <c r="D33" i="2"/>
  <c r="D34" i="2"/>
  <c r="I6" i="3"/>
  <c r="D58" i="3"/>
  <c r="E33" i="2"/>
  <c r="E34" i="2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E42" i="5"/>
  <c r="E3" i="3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46" i="2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55" i="5"/>
  <c r="C25" i="4"/>
  <c r="D24" i="3"/>
  <c r="I16" i="2"/>
  <c r="I45" i="2"/>
  <c r="I44" i="2"/>
  <c r="E16" i="2"/>
  <c r="E44" i="2"/>
  <c r="D16" i="2"/>
  <c r="D44" i="2"/>
  <c r="D19" i="4"/>
  <c r="E49" i="5"/>
  <c r="H15" i="2"/>
  <c r="I15" i="2"/>
  <c r="D15" i="2"/>
  <c r="E15" i="2"/>
  <c r="C15" i="2"/>
  <c r="F12" i="2"/>
  <c r="H17" i="2"/>
  <c r="F17" i="2"/>
  <c r="E13" i="2"/>
  <c r="E12" i="2"/>
  <c r="D26" i="3"/>
  <c r="E36" i="5"/>
  <c r="K17" i="2"/>
  <c r="D13" i="2"/>
  <c r="D12" i="2"/>
  <c r="J17" i="2"/>
  <c r="G17" i="2"/>
  <c r="I13" i="2"/>
  <c r="I12" i="2"/>
  <c r="L17" i="2"/>
  <c r="D44" i="3"/>
  <c r="C27" i="4"/>
  <c r="D45" i="3"/>
  <c r="D25" i="3"/>
  <c r="E45" i="2"/>
  <c r="E35" i="2"/>
  <c r="D45" i="2"/>
  <c r="D35" i="2"/>
  <c r="E62" i="5"/>
  <c r="E17" i="2"/>
  <c r="I17" i="2"/>
  <c r="D17" i="2"/>
  <c r="D46" i="3"/>
  <c r="E6" i="5"/>
  <c r="D50" i="3"/>
  <c r="E18" i="5"/>
  <c r="D60" i="3"/>
  <c r="D21" i="4"/>
  <c r="G21" i="4"/>
  <c r="D49" i="3"/>
  <c r="H16" i="1"/>
  <c r="E6" i="3"/>
  <c r="E20" i="4"/>
  <c r="J16" i="1"/>
  <c r="J10" i="1"/>
  <c r="F16" i="1"/>
  <c r="F13" i="4"/>
  <c r="E13" i="4"/>
  <c r="E14" i="4"/>
  <c r="F14" i="4"/>
  <c r="J18" i="1"/>
  <c r="F18" i="1"/>
  <c r="E5" i="5"/>
  <c r="D9" i="4"/>
  <c r="D10" i="4"/>
  <c r="E27" i="4"/>
  <c r="F27" i="4"/>
  <c r="G27" i="4"/>
  <c r="E25" i="4"/>
  <c r="F25" i="4"/>
  <c r="G25" i="4"/>
  <c r="C30" i="4"/>
  <c r="E26" i="4"/>
  <c r="F26" i="4"/>
  <c r="G26" i="4"/>
  <c r="E30" i="4"/>
  <c r="G12" i="4"/>
  <c r="C34" i="4"/>
  <c r="F34" i="4"/>
  <c r="C10" i="4"/>
  <c r="G13" i="4"/>
  <c r="E34" i="4"/>
  <c r="F14" i="1"/>
  <c r="I35" i="1"/>
  <c r="D14" i="1"/>
  <c r="F46" i="1"/>
  <c r="F49" i="1" s="1"/>
  <c r="D30" i="4"/>
  <c r="C33" i="4"/>
  <c r="I36" i="1"/>
  <c r="F45" i="1"/>
  <c r="H14" i="1"/>
  <c r="B17" i="1"/>
  <c r="F33" i="4"/>
  <c r="E33" i="4"/>
  <c r="D18" i="1"/>
  <c r="D17" i="1"/>
  <c r="J25" i="1"/>
  <c r="J17" i="1"/>
  <c r="D16" i="1"/>
  <c r="F17" i="1"/>
  <c r="F42" i="1"/>
  <c r="D49" i="1" s="1"/>
  <c r="D13" i="4" l="1"/>
  <c r="D14" i="4" s="1"/>
  <c r="G14" i="4" s="1"/>
  <c r="G15" i="4" s="1"/>
  <c r="C27" i="1"/>
  <c r="I27" i="1" s="1"/>
  <c r="C50" i="1"/>
  <c r="B50" i="1"/>
  <c r="E42" i="1"/>
  <c r="F48" i="1" s="1"/>
  <c r="E50" i="1" s="1"/>
  <c r="F50" i="1" s="1"/>
  <c r="E49" i="1"/>
  <c r="I31" i="1"/>
  <c r="I32" i="1" s="1"/>
  <c r="I33" i="1" s="1"/>
  <c r="D15" i="4"/>
</calcChain>
</file>

<file path=xl/sharedStrings.xml><?xml version="1.0" encoding="utf-8"?>
<sst xmlns="http://schemas.openxmlformats.org/spreadsheetml/2006/main" count="416" uniqueCount="352">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</sst>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3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9" zoomScale="80" zoomScaleNormal="100" workbookViewId="0">
      <selection activeCell="C29" sqref="C29:D29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01" t="s">
        <v>334</v>
      </c>
      <c r="D3" s="402"/>
      <c r="E3" s="15"/>
      <c r="G3" s="7" t="s">
        <v>2</v>
      </c>
      <c r="I3" s="411" t="s">
        <v>3</v>
      </c>
      <c r="J3" s="412"/>
    </row>
    <row r="4" spans="1:12" ht="15.75" customHeight="1">
      <c r="B4" s="5" t="s">
        <v>4</v>
      </c>
      <c r="C4" s="403" t="s">
        <v>335</v>
      </c>
      <c r="D4" s="404"/>
      <c r="E4" s="6"/>
      <c r="G4" s="5" t="s">
        <v>5</v>
      </c>
      <c r="I4" s="32">
        <v>1.77</v>
      </c>
      <c r="J4" s="33" t="s">
        <v>6</v>
      </c>
      <c r="K4" s="152"/>
    </row>
    <row r="5" spans="1:12" ht="15.75" customHeight="1">
      <c r="B5" s="5" t="s">
        <v>7</v>
      </c>
      <c r="C5" s="405">
        <v>44931</v>
      </c>
      <c r="D5" s="404"/>
      <c r="E5" s="122" t="str">
        <f ca="1">IF(C5+30&gt;=TODAY(),"Patience Premium","")</f>
        <v/>
      </c>
      <c r="G5" s="5" t="s">
        <v>8</v>
      </c>
      <c r="I5" s="413">
        <v>1333330500</v>
      </c>
      <c r="J5" s="414"/>
      <c r="K5" s="151"/>
      <c r="L5" s="85"/>
    </row>
    <row r="6" spans="1:12" ht="15.75" customHeight="1">
      <c r="B6" s="12" t="s">
        <v>248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5">
        <f>I4*I5/1000000</f>
        <v>2359.9949849999998</v>
      </c>
      <c r="J6" s="416"/>
      <c r="K6" s="151"/>
    </row>
    <row r="7" spans="1:12" ht="15.75" customHeight="1">
      <c r="B7" s="139" t="s">
        <v>10</v>
      </c>
      <c r="C7" s="145">
        <f>(Data!C39*Exchange_Rate)/I4</f>
        <v>2.8468760612500799E-2</v>
      </c>
      <c r="D7" s="145">
        <f>(Data!C40*Exchange_Rate)/I4</f>
        <v>0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22.376837056785025</v>
      </c>
      <c r="J9" s="48">
        <f>IF(I9="NNI","NNI",1/I9)</f>
        <v>4.4689068319277214E-2</v>
      </c>
    </row>
    <row r="10" spans="1:12" ht="15.75" customHeight="1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0.75340216596326104</v>
      </c>
      <c r="J10" s="130" t="str">
        <f>IF(Asset_Model!D60/'FCFF Model'!C4&lt;0,"Negative EV",Asset_Model!D60/'FCFF Model'!C4)</f>
        <v>Negative EV</v>
      </c>
    </row>
    <row r="11" spans="1:12" ht="15.75" customHeight="1" thickBot="1">
      <c r="B11" s="312" t="s">
        <v>267</v>
      </c>
      <c r="C11" s="425">
        <f ca="1">C12-D10</f>
        <v>5.1000000000000004E-2</v>
      </c>
      <c r="D11" s="426"/>
      <c r="E11" s="13"/>
      <c r="G11" s="5" t="s">
        <v>15</v>
      </c>
      <c r="H11" s="6"/>
      <c r="I11" s="423" t="s">
        <v>336</v>
      </c>
      <c r="J11" s="424"/>
    </row>
    <row r="12" spans="1:12" ht="15.75" customHeight="1" thickTop="1">
      <c r="B12" s="313" t="s">
        <v>145</v>
      </c>
      <c r="C12" s="379">
        <f ca="1">IF(C10="CN",8%,6%)*IF($C$5+30&gt;=TODAY(),1.2,1)</f>
        <v>0.08</v>
      </c>
      <c r="D12" s="380"/>
      <c r="G12" s="134" t="s">
        <v>16</v>
      </c>
      <c r="H12" s="133"/>
      <c r="I12" s="135">
        <v>1.1452116568883259</v>
      </c>
      <c r="J12" s="136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127" t="s">
        <v>212</v>
      </c>
      <c r="D14" s="184">
        <f>MIN('FCFF Model'!C30,'FCFF Model'!E30)</f>
        <v>1.8010410913637067</v>
      </c>
      <c r="E14" s="127" t="s">
        <v>227</v>
      </c>
      <c r="F14" s="184">
        <f>MAX('FCFF Model'!C30,'FCFF Model'!E30)</f>
        <v>2.0424389077766301</v>
      </c>
      <c r="G14" s="185" t="s">
        <v>24</v>
      </c>
      <c r="H14" s="193">
        <f>IF('FCFF Model'!C33&lt;0, "Error", 'FCFF Model'!C33)</f>
        <v>1.9118952382817638</v>
      </c>
      <c r="I14" s="133"/>
      <c r="J14" s="133"/>
    </row>
    <row r="15" spans="1:12" ht="15.75" customHeight="1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1.77</v>
      </c>
      <c r="C16" s="389">
        <v>0.1</v>
      </c>
      <c r="D16" s="159">
        <f>IF(B17='FCFF Model'!G29,"Net Asset", H14/B16-1-C16)</f>
        <v>-1.9833198710867889E-2</v>
      </c>
      <c r="E16" s="384">
        <f>'FCFF Model'!D11*Exchange_Rate</f>
        <v>0.25194656451543168</v>
      </c>
      <c r="F16" s="161">
        <f>E16/B16</f>
        <v>0.14234269181662806</v>
      </c>
      <c r="G16" s="392" t="s">
        <v>25</v>
      </c>
      <c r="H16" s="417">
        <f>('FCFF Model'!G19)*Exchange_Rate</f>
        <v>2.0424389077766301</v>
      </c>
      <c r="I16" s="392" t="s">
        <v>26</v>
      </c>
      <c r="J16" s="206">
        <f>B16-$H$16</f>
        <v>-0.27243890777663005</v>
      </c>
    </row>
    <row r="17" spans="1:10" ht="15.75" customHeight="1">
      <c r="B17" s="289">
        <f>MAX(H14/(1+C16),'FCFF Model'!G29)</f>
        <v>1.7380865802561487</v>
      </c>
      <c r="C17" s="390"/>
      <c r="D17" s="288">
        <f>IF(B17='FCFF Model'!G29,"Net Asset",H14/B17-1-C16)</f>
        <v>8.3266726846886741E-17</v>
      </c>
      <c r="E17" s="385"/>
      <c r="F17" s="162">
        <f>E16/B17</f>
        <v>0.14495627972589337</v>
      </c>
      <c r="G17" s="393"/>
      <c r="H17" s="418"/>
      <c r="I17" s="393"/>
      <c r="J17" s="205">
        <f>B17-$H$16</f>
        <v>-0.30435232752048136</v>
      </c>
    </row>
    <row r="18" spans="1:10" ht="15.75" customHeight="1">
      <c r="B18" s="355">
        <f>C35</f>
        <v>1.62</v>
      </c>
      <c r="C18" s="391"/>
      <c r="D18" s="160">
        <f>IF(B17='FCFF Model'!G29,"NA: "&amp;ROUND('FCFF Model'!G29/B18-1,2)*100&amp;"%", H14/B18-1-C16)</f>
        <v>8.0182245852940509E-2</v>
      </c>
      <c r="E18" s="386"/>
      <c r="F18" s="163">
        <f>E16/B18</f>
        <v>0.15552257068853806</v>
      </c>
      <c r="G18" s="394"/>
      <c r="H18" s="419"/>
      <c r="I18" s="394"/>
      <c r="J18" s="207">
        <f>B18-$H$16</f>
        <v>-0.42243890777662996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246</v>
      </c>
      <c r="D20" s="290" t="s">
        <v>338</v>
      </c>
      <c r="E20" s="266" t="s">
        <v>256</v>
      </c>
      <c r="G20" s="6"/>
      <c r="H20" s="6"/>
      <c r="I20" s="357"/>
    </row>
    <row r="21" spans="1:10" ht="15.75" customHeight="1">
      <c r="A21" s="6"/>
      <c r="B21" s="24" t="s">
        <v>28</v>
      </c>
      <c r="C21" s="408" t="s">
        <v>337</v>
      </c>
      <c r="D21" s="409"/>
      <c r="E21" s="409"/>
      <c r="F21" s="409"/>
      <c r="G21" s="409"/>
      <c r="H21" s="409"/>
      <c r="I21" s="409"/>
      <c r="J21" s="410"/>
    </row>
    <row r="22" spans="1:10" ht="52.5" customHeight="1">
      <c r="A22" s="6"/>
      <c r="B22" s="24" t="s">
        <v>29</v>
      </c>
      <c r="C22" s="421" t="s">
        <v>339</v>
      </c>
      <c r="D22" s="422"/>
      <c r="E22" s="422"/>
      <c r="F22" s="422"/>
      <c r="G22" s="421" t="s">
        <v>340</v>
      </c>
      <c r="H22" s="421"/>
      <c r="I22" s="422"/>
      <c r="J22" s="422"/>
    </row>
    <row r="23" spans="1:10" ht="52.5" customHeight="1">
      <c r="A23" s="6"/>
      <c r="B23" s="25" t="s">
        <v>30</v>
      </c>
      <c r="C23" s="387" t="s">
        <v>341</v>
      </c>
      <c r="D23" s="388"/>
      <c r="E23" s="388"/>
      <c r="F23" s="388"/>
      <c r="G23" s="387" t="s">
        <v>342</v>
      </c>
      <c r="H23" s="387"/>
      <c r="I23" s="388"/>
      <c r="J23" s="388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1.5295161906254111</v>
      </c>
    </row>
    <row r="26" spans="1:10" ht="15.75" customHeight="1">
      <c r="B26" s="23" t="s">
        <v>33</v>
      </c>
      <c r="C26" s="406">
        <v>44932</v>
      </c>
      <c r="D26" s="407"/>
      <c r="E26" s="398" t="str">
        <f>IF(C26="","","Action_Planning")</f>
        <v>Action_Planning</v>
      </c>
      <c r="F26" s="399"/>
      <c r="G26" s="399"/>
      <c r="H26" s="400"/>
      <c r="I26" s="420" t="s">
        <v>34</v>
      </c>
      <c r="J26" s="420"/>
    </row>
    <row r="27" spans="1:10" ht="15.75" customHeight="1">
      <c r="B27" s="23" t="s">
        <v>35</v>
      </c>
      <c r="C27" s="383">
        <f>C31/D25</f>
        <v>0.11666666666666667</v>
      </c>
      <c r="D27" s="382"/>
      <c r="E27" s="381">
        <f>E31/D25</f>
        <v>8.1000000000000003E-2</v>
      </c>
      <c r="F27" s="382"/>
      <c r="G27" s="396">
        <f>G31/D25</f>
        <v>0</v>
      </c>
      <c r="H27" s="397"/>
      <c r="I27" s="395">
        <f>C27+E27+G27</f>
        <v>0.19766666666666666</v>
      </c>
      <c r="J27" s="395"/>
    </row>
    <row r="28" spans="1:10" ht="15.75" customHeight="1">
      <c r="B28" s="23" t="s">
        <v>36</v>
      </c>
      <c r="C28" s="372">
        <v>40000</v>
      </c>
      <c r="D28" s="422"/>
      <c r="E28" s="372">
        <v>30000</v>
      </c>
      <c r="F28" s="422"/>
      <c r="G28" s="413"/>
      <c r="H28" s="414"/>
      <c r="I28" s="437">
        <f>C28+E28+G28</f>
        <v>70000</v>
      </c>
      <c r="J28" s="437"/>
    </row>
    <row r="29" spans="1:10" ht="15.75" customHeight="1">
      <c r="B29" s="23" t="s">
        <v>37</v>
      </c>
      <c r="C29" s="447">
        <v>1.75</v>
      </c>
      <c r="D29" s="422"/>
      <c r="E29" s="447">
        <v>1.62</v>
      </c>
      <c r="F29" s="422"/>
      <c r="G29" s="427"/>
      <c r="H29" s="428"/>
      <c r="I29" s="433"/>
      <c r="J29" s="433"/>
    </row>
    <row r="30" spans="1:10" ht="15.75" customHeight="1">
      <c r="B30" s="23" t="s">
        <v>38</v>
      </c>
      <c r="C30" s="435">
        <f>C29*$I$5/1000000</f>
        <v>2333.3283750000001</v>
      </c>
      <c r="D30" s="442"/>
      <c r="E30" s="435">
        <f>E29*$I$5/1000000</f>
        <v>2159.99541</v>
      </c>
      <c r="F30" s="442"/>
      <c r="G30" s="429">
        <f>G29*$I$5/1000000</f>
        <v>0</v>
      </c>
      <c r="H30" s="430"/>
      <c r="I30" s="434"/>
      <c r="J30" s="434"/>
    </row>
    <row r="31" spans="1:10" ht="15.75" customHeight="1">
      <c r="B31" s="2" t="s">
        <v>39</v>
      </c>
      <c r="C31" s="443">
        <f>C28*C29</f>
        <v>70000</v>
      </c>
      <c r="D31" s="444"/>
      <c r="E31" s="436">
        <f>E28*E29</f>
        <v>48600</v>
      </c>
      <c r="F31" s="445"/>
      <c r="G31" s="431">
        <f>G28*G29</f>
        <v>0</v>
      </c>
      <c r="H31" s="432"/>
      <c r="I31" s="436">
        <f>C31+E31+G31</f>
        <v>118600</v>
      </c>
      <c r="J31" s="436"/>
    </row>
    <row r="32" spans="1:10" ht="15.75" customHeight="1">
      <c r="B32" s="1" t="s">
        <v>40</v>
      </c>
      <c r="C32" s="438"/>
      <c r="D32" s="439"/>
      <c r="E32" s="446">
        <f>IF(C31=0,"-",(C31+E31)/(C28+E28))</f>
        <v>1.6942857142857144</v>
      </c>
      <c r="F32" s="382"/>
      <c r="G32" s="117"/>
      <c r="H32" s="117"/>
      <c r="I32" s="446">
        <f>IF(I31=0,"",I31/I28)</f>
        <v>1.6942857142857144</v>
      </c>
      <c r="J32" s="446"/>
    </row>
    <row r="33" spans="2:11" ht="15.75" customHeight="1">
      <c r="B33" s="1" t="s">
        <v>41</v>
      </c>
      <c r="C33" s="440"/>
      <c r="D33" s="441"/>
      <c r="E33" s="435">
        <f>IF(E32="-","-",E32*$I$5/1000000)</f>
        <v>2259.0428185714286</v>
      </c>
      <c r="F33" s="442"/>
      <c r="G33" s="118"/>
      <c r="H33" s="118"/>
      <c r="I33" s="435">
        <f>IF(I32="","",I32*$I$5/1000000)</f>
        <v>2259.0428185714286</v>
      </c>
      <c r="J33" s="435"/>
    </row>
    <row r="34" spans="2:11" ht="15.75" customHeight="1"/>
    <row r="35" spans="2:11" ht="15.75" customHeight="1">
      <c r="B35" s="146" t="s">
        <v>309</v>
      </c>
      <c r="C35" s="370">
        <f>E29</f>
        <v>1.62</v>
      </c>
      <c r="D35" s="371"/>
      <c r="G35" s="374" t="s">
        <v>311</v>
      </c>
      <c r="H35" s="375"/>
      <c r="I35" s="370">
        <f>F14</f>
        <v>2.0424389077766301</v>
      </c>
      <c r="J35" s="371"/>
    </row>
    <row r="36" spans="2:11" ht="15.75" customHeight="1">
      <c r="B36" s="146" t="s">
        <v>310</v>
      </c>
      <c r="C36" s="372">
        <f>E28</f>
        <v>30000</v>
      </c>
      <c r="D36" s="373"/>
      <c r="G36" s="376" t="s">
        <v>321</v>
      </c>
      <c r="H36" s="376"/>
      <c r="I36" s="377">
        <f>IF(C26="",0,I35/C29-1)</f>
        <v>0.16710794730093137</v>
      </c>
      <c r="J36" s="378"/>
    </row>
    <row r="37" spans="2:11" ht="15.75" customHeight="1"/>
    <row r="38" spans="2:11" ht="15.75" customHeight="1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>
      <c r="B42" s="3" t="s">
        <v>351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326</v>
      </c>
      <c r="H42" s="74"/>
      <c r="I42" s="74"/>
      <c r="J42" s="74"/>
    </row>
    <row r="43" spans="2:11" ht="15.75" customHeight="1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/>
    <row r="45" spans="2:11" ht="15.75" customHeight="1">
      <c r="B45" s="3" t="s">
        <v>327</v>
      </c>
      <c r="F45" s="365">
        <f>I35/C29-1</f>
        <v>0.16710794730093137</v>
      </c>
    </row>
    <row r="46" spans="2:11" ht="15.75" customHeight="1">
      <c r="B46" s="3" t="s">
        <v>328</v>
      </c>
      <c r="F46" s="365">
        <f>D14/C29-1</f>
        <v>2.9166337922118091E-2</v>
      </c>
    </row>
    <row r="47" spans="2:11" ht="15.75" customHeight="1"/>
    <row r="48" spans="2:11" ht="15.75" customHeight="1">
      <c r="B48" s="3" t="s">
        <v>330</v>
      </c>
      <c r="F48" s="214">
        <f>IF(F45&lt;=0,0,AVERAGE(F39:F41,1-F43,E42))</f>
        <v>0.54784353741496594</v>
      </c>
      <c r="G48" s="74"/>
    </row>
    <row r="49" spans="2:8" ht="15.75" customHeight="1">
      <c r="B49" s="3" t="s">
        <v>329</v>
      </c>
      <c r="D49" s="367">
        <f>IF(F42="Strongly Agree",2,IF(F42="Agree",3,4))</f>
        <v>4</v>
      </c>
      <c r="E49" s="363">
        <f>F45/ABS(F46)</f>
        <v>5.7294799143846653</v>
      </c>
      <c r="F49" s="360">
        <f>IF(F46&gt;=0,100,F45/ABS(F46))</f>
        <v>100</v>
      </c>
      <c r="G49" s="74"/>
    </row>
    <row r="50" spans="2:8" ht="15.75" customHeight="1">
      <c r="B50" s="368" t="str">
        <f>IF(D49=2,"⇒ 1/2 Kelly %",IF(D49=3, "⇒ 1/3 Kelly %", "⇒ 1/4 Kelly %"))</f>
        <v>⇒ 1/4 Kelly %</v>
      </c>
      <c r="C50" s="85" t="str">
        <f>" [W – (1 – W)/R] /"&amp;D49</f>
        <v xml:space="preserve"> [W – (1 – W)/R] /4</v>
      </c>
      <c r="E50" s="107">
        <f>MAX(F48-ABS((1-F48)/F49),0)/D49</f>
        <v>0.13583049319727891</v>
      </c>
      <c r="F50" s="359">
        <f>MIN(E50,H50)</f>
        <v>0.13583049319727891</v>
      </c>
      <c r="G50" s="362" t="s">
        <v>332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phoneticPr fontId="32" type="noConversion"/>
  <conditionalFormatting sqref="B16">
    <cfRule type="cellIs" dxfId="17" priority="6" operator="lessThan">
      <formula>$B$18</formula>
    </cfRule>
  </conditionalFormatting>
  <conditionalFormatting sqref="C35:D36">
    <cfRule type="containsBlanks" priority="10">
      <formula>LEN(TRIM(C35))=0</formula>
    </cfRule>
  </conditionalFormatting>
  <conditionalFormatting sqref="C26:E26 I26 C28:G29 I28:I29">
    <cfRule type="containsBlanks" priority="23">
      <formula>LEN(TRIM(C26))=0</formula>
    </cfRule>
  </conditionalFormatting>
  <conditionalFormatting sqref="D16 D18">
    <cfRule type="cellIs" dxfId="16" priority="19" operator="lessThan">
      <formula>0</formula>
    </cfRule>
  </conditionalFormatting>
  <conditionalFormatting sqref="E26:H26">
    <cfRule type="containsBlanks" dxfId="15" priority="7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1" operator="greaterThan">
      <formula>$B$16</formula>
    </cfRule>
  </conditionalFormatting>
  <conditionalFormatting sqref="H16">
    <cfRule type="cellIs" dxfId="12" priority="14" operator="greaterThan">
      <formula>$B$16</formula>
    </cfRule>
  </conditionalFormatting>
  <conditionalFormatting sqref="I16">
    <cfRule type="cellIs" dxfId="11" priority="29" operator="lessThan">
      <formula>0</formula>
    </cfRule>
  </conditionalFormatting>
  <conditionalFormatting sqref="I35:J36">
    <cfRule type="containsBlanks" priority="4">
      <formula>LEN(TRIM(I35))=0</formula>
    </cfRule>
  </conditionalFormatting>
  <conditionalFormatting sqref="K38">
    <cfRule type="containsBlanks" priority="8">
      <formula>LEN(TRIM(K38))=0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D9D11BE6-6FE7-4A85-BBA8-E0CC78C2F38B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7" zoomScaleNormal="100" workbookViewId="0">
      <selection activeCell="C35" sqref="C35:D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249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264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228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250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245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2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I4" sqref="I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17968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>
      <c r="B3" s="5" t="s">
        <v>251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252</v>
      </c>
      <c r="I3" s="275">
        <v>2803646</v>
      </c>
      <c r="K3" s="74"/>
    </row>
    <row r="4" spans="1:11" ht="15" customHeight="1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2.4080811779137488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312</v>
      </c>
      <c r="I6" s="69">
        <f>C26/I26</f>
        <v>4.2956815471165841</v>
      </c>
      <c r="J6" s="6"/>
      <c r="K6" s="74"/>
    </row>
    <row r="7" spans="1:11" ht="15" customHeight="1" thickBot="1">
      <c r="B7" s="53" t="s">
        <v>85</v>
      </c>
      <c r="D7" s="61">
        <f>MAX((D6*Exchange_Rate*Data!C4)/Dashboard!I5, 0)</f>
        <v>1.6358482526225129</v>
      </c>
      <c r="E7" s="49" t="str">
        <f>Dashboard!J4</f>
        <v>HKD</v>
      </c>
      <c r="H7" s="3" t="s">
        <v>313</v>
      </c>
      <c r="I7" s="69">
        <f>C25/I26</f>
        <v>3.8517555372810004</v>
      </c>
      <c r="J7" s="6"/>
      <c r="K7" s="116"/>
    </row>
    <row r="8" spans="1:11" ht="15" customHeight="1">
      <c r="D8" s="6"/>
      <c r="H8" s="3" t="s">
        <v>314</v>
      </c>
      <c r="I8" s="69">
        <f>C24/I26</f>
        <v>3.2124752885050021</v>
      </c>
      <c r="K8" s="74"/>
    </row>
    <row r="9" spans="1:11" ht="15" customHeight="1">
      <c r="A9" s="4"/>
      <c r="B9" s="268" t="s">
        <v>247</v>
      </c>
      <c r="C9" s="255"/>
      <c r="D9" s="271">
        <v>44926</v>
      </c>
      <c r="E9" s="290" t="s">
        <v>343</v>
      </c>
      <c r="F9" s="133"/>
      <c r="G9" s="133"/>
      <c r="H9" s="133"/>
      <c r="I9" s="133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4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315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319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234</v>
      </c>
      <c r="G27" s="6"/>
      <c r="I27" s="6"/>
      <c r="J27" s="6"/>
    </row>
    <row r="28" spans="2:10" ht="15" customHeight="1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4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236</v>
      </c>
      <c r="G33" s="94">
        <f>IF(F33="Y",0,1)</f>
        <v>1</v>
      </c>
      <c r="J33" s="6"/>
    </row>
    <row r="34" spans="2:10" ht="14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>
      <c r="B36" s="5" t="s">
        <v>293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316</v>
      </c>
      <c r="I44" s="69">
        <f>E44/(I46-I15-I32)</f>
        <v>790.06633136094683</v>
      </c>
      <c r="J44" s="13" t="str">
        <f>IF(I44&lt;1,"Liquidity Problem!","")</f>
        <v/>
      </c>
    </row>
    <row r="45" spans="2:10" ht="15" customHeight="1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320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317</v>
      </c>
      <c r="I46" s="155">
        <f>I26+I42</f>
        <v>749998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129</v>
      </c>
      <c r="C48" s="21"/>
      <c r="D48" s="52"/>
    </row>
    <row r="49" spans="2:9" ht="14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258</v>
      </c>
      <c r="C52" s="5"/>
      <c r="D52" s="448">
        <f>D53+D54+D55</f>
        <v>16614</v>
      </c>
      <c r="E52" s="449"/>
      <c r="F52" s="53"/>
      <c r="G52" s="53"/>
    </row>
    <row r="53" spans="2:9" ht="14.5" thickTop="1">
      <c r="B53" s="58" t="s">
        <v>229</v>
      </c>
      <c r="C53" s="6"/>
      <c r="D53" s="451">
        <f>SUM(I11:I13)+SUM(I28:I30)</f>
        <v>16614</v>
      </c>
      <c r="E53" s="444"/>
      <c r="F53" s="5"/>
      <c r="G53" s="5"/>
      <c r="H53" s="3" t="s">
        <v>318</v>
      </c>
      <c r="I53" s="14">
        <f>D53/I3</f>
        <v>5.9258551186562071E-3</v>
      </c>
    </row>
    <row r="54" spans="2:9" ht="14">
      <c r="B54" s="58" t="s">
        <v>131</v>
      </c>
      <c r="C54" s="6"/>
      <c r="D54" s="456">
        <v>0</v>
      </c>
      <c r="E54" s="422"/>
      <c r="F54" s="6" t="s">
        <v>132</v>
      </c>
      <c r="G54" s="6"/>
    </row>
    <row r="55" spans="2:9" ht="12.75" customHeight="1">
      <c r="B55" s="58" t="s">
        <v>130</v>
      </c>
      <c r="C55" s="6"/>
      <c r="D55" s="456">
        <v>0</v>
      </c>
      <c r="E55" s="422"/>
      <c r="F55" s="5" t="s">
        <v>133</v>
      </c>
      <c r="G55" s="5"/>
    </row>
    <row r="56" spans="2:9" ht="15" customHeight="1">
      <c r="D56" s="6"/>
      <c r="E56" s="6"/>
    </row>
    <row r="57" spans="2:9" ht="14">
      <c r="B57" s="75" t="s">
        <v>134</v>
      </c>
      <c r="C57" s="5"/>
      <c r="D57" s="450"/>
      <c r="E57" s="450"/>
      <c r="F57" s="19"/>
      <c r="G57" s="19"/>
    </row>
    <row r="58" spans="2:9" ht="15" customHeight="1">
      <c r="B58" s="53" t="s">
        <v>230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4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4">
      <c r="B60" s="53" t="s">
        <v>135</v>
      </c>
      <c r="C60" s="6"/>
      <c r="D60" s="454">
        <f>((Dashboard!I6*Data!C4)+D52+E50-C58-C59)</f>
        <v>-485536.01500000013</v>
      </c>
      <c r="E60" s="455"/>
      <c r="F60" s="6"/>
      <c r="G60" s="6"/>
    </row>
    <row r="61" spans="2:9" ht="15" customHeight="1">
      <c r="D61" s="6"/>
      <c r="E61" s="6"/>
    </row>
    <row r="62" spans="2:9" ht="15" customHeight="1">
      <c r="B62" s="291" t="s">
        <v>257</v>
      </c>
    </row>
    <row r="63" spans="2:9" ht="15" customHeight="1">
      <c r="B63" s="3" t="s">
        <v>260</v>
      </c>
      <c r="D63" s="377">
        <f>((C26-C11-C12-C14-C15-C16*G16-C19*G19-C20*G20)-I26)/Data!C7</f>
        <v>-0.16776182102549406</v>
      </c>
      <c r="E63" s="378"/>
    </row>
    <row r="64" spans="2:9" ht="15" customHeight="1">
      <c r="B64" s="3" t="s">
        <v>259</v>
      </c>
      <c r="D64" s="452">
        <v>8.5599999999999996E-2</v>
      </c>
      <c r="E64" s="453"/>
      <c r="F64" s="266" t="s">
        <v>244</v>
      </c>
    </row>
    <row r="65" spans="2:5" ht="15" customHeight="1">
      <c r="B65" s="291" t="s">
        <v>261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topLeftCell="A3" zoomScaleNormal="100" zoomScalePageLayoutView="80" workbookViewId="0">
      <selection activeCell="E11" sqref="E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1000CNY)</v>
      </c>
      <c r="C3" s="277">
        <f>Dashboard!E6</f>
        <v>44926</v>
      </c>
      <c r="D3" s="28" t="s">
        <v>243</v>
      </c>
      <c r="E3" s="277">
        <f>EOMONTH(EDATE(C3,12),0)</f>
        <v>45291</v>
      </c>
      <c r="F3" s="28" t="s">
        <v>243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>
      <c r="B4" s="292" t="s">
        <v>344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345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>
      <c r="B6" s="292" t="s">
        <v>346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>
      <c r="B7" s="292" t="s">
        <v>347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262</v>
      </c>
      <c r="M8" s="57"/>
    </row>
    <row r="9" spans="1:13" ht="15.75" customHeight="1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>
      <c r="B17" s="134" t="s">
        <v>239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>
      <c r="B19" s="324" t="s">
        <v>296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2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4" zoomScaleNormal="100" zoomScalePageLayoutView="80" workbookViewId="0">
      <selection activeCell="C30" sqref="C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>
      <c r="B5" s="17" t="s">
        <v>268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f>Data!C35</f>
        <v>0.42808178207371606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>
      <c r="B7" s="81" t="s">
        <v>263</v>
      </c>
      <c r="C7" s="309">
        <f>C4*C6</f>
        <v>253.95951721523204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>
      <c r="B8" s="17" t="s">
        <v>144</v>
      </c>
      <c r="C8" s="192">
        <f>IF(C4="","",C4-C7)</f>
        <v>339.29048278476796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>
      <c r="B9" s="203" t="s">
        <v>213</v>
      </c>
      <c r="C9" s="193">
        <f>C8/(Common_Shares/Data!$C$4)</f>
        <v>2.54468402833932E-4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>
      <c r="B10" s="234" t="s">
        <v>240</v>
      </c>
      <c r="C10" s="311">
        <f>C11/C9</f>
        <v>0</v>
      </c>
      <c r="D10" s="311">
        <f>D11/D9</f>
        <v>-4.1586033270056832</v>
      </c>
      <c r="E10" s="343"/>
      <c r="F10" s="343"/>
      <c r="G10" s="235"/>
      <c r="H10" s="82"/>
      <c r="I10" s="56"/>
      <c r="J10" s="56"/>
    </row>
    <row r="11" spans="1:10" ht="15.75" customHeight="1">
      <c r="B11" s="234" t="s">
        <v>254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>
      <c r="B12" s="19" t="s">
        <v>269</v>
      </c>
      <c r="C12" s="236">
        <v>0</v>
      </c>
      <c r="D12" s="236">
        <v>0.22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>
      <c r="B15" s="8" t="s">
        <v>292</v>
      </c>
      <c r="C15" s="237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>
      <c r="B18" s="58" t="s">
        <v>233</v>
      </c>
      <c r="C18" s="84">
        <f>Asset_Model!E59</f>
        <v>2330366.2800000003</v>
      </c>
      <c r="D18" s="219">
        <f>C18/(Dashboard!I5/Data!C4)</f>
        <v>1.7477784240291512</v>
      </c>
      <c r="E18" s="85" t="s">
        <v>231</v>
      </c>
      <c r="G18" s="137">
        <f>C18+C19+C20+C21</f>
        <v>2492858.7800000003</v>
      </c>
    </row>
    <row r="19" spans="1:9" ht="15.75" customHeight="1">
      <c r="B19" s="58" t="s">
        <v>237</v>
      </c>
      <c r="C19" s="84">
        <f>Asset_Model!E58</f>
        <v>180388.5</v>
      </c>
      <c r="D19" s="219">
        <f>C19/(Dashboard!I5/Data!C4)</f>
        <v>0.13529166249478281</v>
      </c>
      <c r="E19" s="85" t="s">
        <v>350</v>
      </c>
      <c r="G19" s="197">
        <f>(G18+MIN(D4,0))*Data!C$4/Dashboard!I5</f>
        <v>1.7834597609023433</v>
      </c>
    </row>
    <row r="20" spans="1:9" ht="15.75" customHeight="1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>
      <c r="B21" s="85" t="s">
        <v>232</v>
      </c>
      <c r="C21" s="84">
        <f>-Asset_Model!E50</f>
        <v>-1282</v>
      </c>
      <c r="D21" s="219">
        <f>C21/(Dashboard!I5/Data!C4)</f>
        <v>-9.6150204319184174E-4</v>
      </c>
      <c r="E21" s="459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>
      <c r="F22" s="6"/>
      <c r="G22" s="6"/>
    </row>
    <row r="23" spans="1:9" ht="15.75" customHeight="1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>
      <c r="B25" s="30" t="s">
        <v>290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206">
        <f>E25+$G$19</f>
        <v>1.7305573841424982</v>
      </c>
      <c r="G25" s="206">
        <f>ROUND(F25*Exchange_Rate,2)</f>
        <v>1.98</v>
      </c>
      <c r="I25" s="74"/>
    </row>
    <row r="26" spans="1:9" ht="15.75" customHeight="1">
      <c r="B26" s="30" t="s">
        <v>291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351">
        <f>E26+$G$19</f>
        <v>1.7305573841424982</v>
      </c>
      <c r="G26" s="351">
        <f>ROUND(F26*Exchange_Rate,2)</f>
        <v>1.98</v>
      </c>
      <c r="I26" s="74" t="s">
        <v>300</v>
      </c>
    </row>
    <row r="27" spans="1:9" ht="15.75" customHeight="1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207">
        <f>E27+$G$19</f>
        <v>1.7305573841424982</v>
      </c>
      <c r="G27" s="207">
        <f>ROUND(F27*Exchange_Rate,2)</f>
        <v>1.98</v>
      </c>
      <c r="I27" s="74" t="s">
        <v>299</v>
      </c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349</v>
      </c>
      <c r="G29" s="369">
        <f>IF(Asset_Model!D7&lt;G19,Asset_Model!D7,G19)</f>
        <v>1.6358482526225129</v>
      </c>
      <c r="H29" s="12"/>
      <c r="I29" s="90"/>
    </row>
    <row r="30" spans="1:9" ht="15.75" customHeight="1">
      <c r="A30" s="6"/>
      <c r="B30" s="71" t="s">
        <v>147</v>
      </c>
      <c r="C30" s="252">
        <f>MIN(G29,G25)+(ABS(G29-G25)*'Qualitative Analysis'!E8)</f>
        <v>1.8010410913637067</v>
      </c>
      <c r="D30" s="23" t="str">
        <f>IF(C30&lt;E30,"&lt;",IF(C30=E30,"=","&gt;"))</f>
        <v>&lt;</v>
      </c>
      <c r="E30" s="251">
        <f>MAX(G26, G19*Exchange_Rate)</f>
        <v>2.0424389077766301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>
      <c r="B33" s="256" t="s">
        <v>226</v>
      </c>
      <c r="C33" s="253">
        <f>MIN(C30,E30)+ABS(C30-E30)*'Qualitative Analysis'!$E$64</f>
        <v>1.9118952382817638</v>
      </c>
      <c r="D33" s="119" t="str">
        <f>Dashboard!J4</f>
        <v>HKD</v>
      </c>
      <c r="E33" s="120">
        <f>(C33-G19)/C9</f>
        <v>504.72072740299501</v>
      </c>
      <c r="F33" s="158">
        <f>C33/(Data!C28*Exchange_Rate*Data!C4/Common_Shares)</f>
        <v>0.81380000769283944</v>
      </c>
      <c r="G33" s="87"/>
      <c r="H33" s="6"/>
      <c r="I33" s="74"/>
    </row>
    <row r="34" spans="2:9" ht="15.5" customHeight="1">
      <c r="B34" s="255" t="s">
        <v>225</v>
      </c>
      <c r="C34" s="254">
        <f>MAX(Asset_Model!D7,G19*Exchange_Rate,(G12/(1+G34)^G4+G19)*Exchange_Rate)</f>
        <v>2.0424389077766301</v>
      </c>
      <c r="D34" s="208" t="str">
        <f>D33</f>
        <v>HKD</v>
      </c>
      <c r="E34" s="120">
        <f>(C34-G19)/C9</f>
        <v>1017.7261459187864</v>
      </c>
      <c r="F34" s="158">
        <f>C34/(Data!C28*Exchange_Rate*Data!C4/Common_Shares)</f>
        <v>0.86936604348392665</v>
      </c>
      <c r="G34" s="280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149</v>
      </c>
      <c r="C2" s="95"/>
      <c r="D2" s="12"/>
      <c r="E2" s="12"/>
      <c r="G2" s="72" t="s">
        <v>136</v>
      </c>
    </row>
    <row r="3" spans="1:7" ht="14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4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153</v>
      </c>
      <c r="C10" s="20"/>
      <c r="D10" s="20"/>
      <c r="E10" s="12"/>
      <c r="G10" s="294"/>
    </row>
    <row r="11" spans="1:7" ht="15" customHeight="1">
      <c r="B11" s="99" t="s">
        <v>154</v>
      </c>
      <c r="C11" s="93"/>
      <c r="E11" s="6"/>
      <c r="G11" s="294"/>
    </row>
    <row r="12" spans="1:7" ht="15" customHeight="1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>
      <c r="B17" s="99" t="s">
        <v>161</v>
      </c>
      <c r="D17" s="38"/>
      <c r="E17" s="23"/>
      <c r="G17" s="294"/>
    </row>
    <row r="18" spans="2:7" ht="15" customHeight="1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>
      <c r="B23" s="99" t="s">
        <v>166</v>
      </c>
      <c r="D23" s="38"/>
      <c r="E23" s="23"/>
      <c r="G23" s="294"/>
    </row>
    <row r="24" spans="2:7" ht="15" customHeight="1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>
      <c r="B29" s="99" t="s">
        <v>170</v>
      </c>
      <c r="D29" s="38"/>
      <c r="E29" s="23"/>
      <c r="G29" s="294"/>
    </row>
    <row r="30" spans="2:7" ht="15" customHeight="1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>
      <c r="B54" s="53" t="s">
        <v>287</v>
      </c>
      <c r="D54" s="104">
        <f t="array" ref="D54">(1-INDEX(B68:E77,MATCH(E54,B68:B77,0),4))*4</f>
        <v>2.3129251700680271</v>
      </c>
      <c r="E54" s="31" t="s">
        <v>348</v>
      </c>
      <c r="F54" s="53"/>
      <c r="G54" s="294"/>
      <c r="H54" s="53"/>
    </row>
    <row r="55" spans="2:8" ht="15" customHeight="1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>
      <c r="G65" s="295"/>
    </row>
    <row r="66" spans="2:7" ht="15" customHeight="1">
      <c r="B66" s="54" t="s">
        <v>190</v>
      </c>
      <c r="C66" s="7"/>
      <c r="D66" s="7"/>
      <c r="E66" s="55"/>
    </row>
    <row r="67" spans="2:7" ht="15" customHeight="1">
      <c r="B67" s="106" t="s">
        <v>191</v>
      </c>
      <c r="C67" s="107"/>
      <c r="D67" s="107"/>
      <c r="E67" s="108"/>
    </row>
    <row r="68" spans="2:7" ht="15" customHeight="1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2023-04-07T11:03:20Z</dcterms:modified>
  <cp:category/>
  <cp:contentStatus/>
</cp:coreProperties>
</file>