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E2500B13-6F98-49C0-A761-97CE0AF218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C36" i="1"/>
  <c r="I7" i="3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<sst xmlns="http://schemas.openxmlformats.org/spreadsheetml/2006/main" count="394" uniqueCount="332">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</sst>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7" fillId="0" borderId="26" xfId="0" applyNumberFormat="1" applyFont="1" applyFill="1" applyBorder="1" applyAlignment="1">
      <alignment horizontal="center"/>
    </xf>
    <xf numFmtId="0" fontId="7" fillId="0" borderId="108" xfId="0" applyNumberFormat="1" applyFont="1" applyFill="1" applyBorder="1" applyAlignment="1">
      <alignment horizontal="center"/>
    </xf>
    <xf numFmtId="0" fontId="7" fillId="0" borderId="33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7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303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304</v>
      </c>
      <c r="D4" s="386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44987</v>
      </c>
      <c r="D5" s="386"/>
      <c r="E5" s="122" t="str">
        <f ca="1">IF(C5+30&gt;=TODAY(),"Patience Premium","")</f>
        <v>Patience Premium</v>
      </c>
      <c r="G5" s="5" t="s">
        <v>8</v>
      </c>
      <c r="I5" s="379">
        <v>7913203590</v>
      </c>
      <c r="J5" s="38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130567.859235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09">
        <f ca="1">C12-D10</f>
        <v>6.6799999999999998E-2</v>
      </c>
      <c r="D11" s="410"/>
      <c r="E11" s="13"/>
      <c r="G11" s="5" t="s">
        <v>15</v>
      </c>
      <c r="H11" s="6"/>
      <c r="I11" s="407" t="s">
        <v>305</v>
      </c>
      <c r="J11" s="408"/>
    </row>
    <row r="12" spans="1:12" ht="15.75" customHeight="1" thickTop="1" x14ac:dyDescent="0.3">
      <c r="B12" s="314" t="s">
        <v>145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418">
        <v>0.1</v>
      </c>
      <c r="D16" s="159">
        <f ca="1">H14/B16-1-C16</f>
        <v>9.2824349864347816E-2</v>
      </c>
      <c r="E16" s="415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-2.308568405350901</v>
      </c>
      <c r="I16" s="402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419"/>
      <c r="D17" s="289">
        <f ca="1">H14/B17-1-C16</f>
        <v>0</v>
      </c>
      <c r="E17" s="416"/>
      <c r="F17" s="162">
        <f ca="1">E16/B17</f>
        <v>0</v>
      </c>
      <c r="G17" s="403"/>
      <c r="H17" s="400"/>
      <c r="I17" s="40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420"/>
      <c r="D18" s="160">
        <f ca="1">H14/B18-1-C16</f>
        <v>0.21210678485078258</v>
      </c>
      <c r="E18" s="417"/>
      <c r="F18" s="163">
        <f>E16/B18</f>
        <v>0</v>
      </c>
      <c r="G18" s="404"/>
      <c r="H18" s="401"/>
      <c r="I18" s="40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306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/>
      <c r="D22" s="371"/>
      <c r="E22" s="371"/>
      <c r="F22" s="371"/>
      <c r="G22" s="406"/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318</v>
      </c>
      <c r="G25" s="12"/>
      <c r="H25" s="354">
        <v>0.15</v>
      </c>
      <c r="I25" s="30" t="s">
        <v>319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88"/>
      <c r="D26" s="389"/>
      <c r="E26" s="449" t="str">
        <f>IF(C26="","","Action_Planning")</f>
        <v/>
      </c>
      <c r="F26" s="450"/>
      <c r="G26" s="450"/>
      <c r="H26" s="451"/>
      <c r="I26" s="405" t="s">
        <v>34</v>
      </c>
      <c r="J26" s="405"/>
    </row>
    <row r="27" spans="1:10" ht="15.75" customHeight="1" x14ac:dyDescent="0.3">
      <c r="B27" s="23" t="s">
        <v>35</v>
      </c>
      <c r="C27" s="414">
        <f>C31/D25</f>
        <v>5.5E-2</v>
      </c>
      <c r="D27" s="369"/>
      <c r="E27" s="413">
        <f>E31/D25</f>
        <v>0.1</v>
      </c>
      <c r="F27" s="369"/>
      <c r="G27" s="422">
        <f>G31/D25</f>
        <v>0</v>
      </c>
      <c r="H27" s="423"/>
      <c r="I27" s="421">
        <f>C27+E27+G27</f>
        <v>0.155</v>
      </c>
      <c r="J27" s="421"/>
    </row>
    <row r="28" spans="1:10" ht="15.75" customHeight="1" x14ac:dyDescent="0.3">
      <c r="B28" s="23" t="s">
        <v>36</v>
      </c>
      <c r="C28" s="370">
        <v>2000</v>
      </c>
      <c r="D28" s="371"/>
      <c r="E28" s="370">
        <v>4000</v>
      </c>
      <c r="F28" s="371"/>
      <c r="G28" s="379"/>
      <c r="H28" s="380"/>
      <c r="I28" s="359">
        <f>C28+E28+G28</f>
        <v>6000</v>
      </c>
      <c r="J28" s="359"/>
    </row>
    <row r="29" spans="1:10" ht="15.75" customHeight="1" x14ac:dyDescent="0.3">
      <c r="B29" s="23" t="s">
        <v>37</v>
      </c>
      <c r="C29" s="372">
        <v>16.5</v>
      </c>
      <c r="D29" s="371"/>
      <c r="E29" s="372">
        <v>15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130567.859235</v>
      </c>
      <c r="D30" s="364"/>
      <c r="E30" s="357">
        <f>E29*$I$5/1000000</f>
        <v>118698.05385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33000</v>
      </c>
      <c r="D31" s="366"/>
      <c r="E31" s="358">
        <f>E28*E29</f>
        <v>60000</v>
      </c>
      <c r="F31" s="367"/>
      <c r="G31" s="377">
        <f>G28*G29</f>
        <v>0</v>
      </c>
      <c r="H31" s="378"/>
      <c r="I31" s="358">
        <f>C31+E31+G31</f>
        <v>93000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15.5</v>
      </c>
      <c r="F32" s="369"/>
      <c r="G32" s="117"/>
      <c r="H32" s="117"/>
      <c r="I32" s="368">
        <f>IF(I31=0,"",I31/I28)</f>
        <v>15.5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122654.65564500001</v>
      </c>
      <c r="F33" s="364"/>
      <c r="G33" s="118"/>
      <c r="H33" s="118"/>
      <c r="I33" s="357">
        <f>IF(I32="","",I32*$I$5/1000000)</f>
        <v>122654.65564500001</v>
      </c>
      <c r="J33" s="357"/>
    </row>
    <row r="34" spans="2:11" ht="15.75" customHeight="1" x14ac:dyDescent="0.3"/>
    <row r="35" spans="2:11" ht="15.75" customHeight="1" x14ac:dyDescent="0.3">
      <c r="B35" s="146" t="s">
        <v>320</v>
      </c>
      <c r="C35" s="424">
        <v>15</v>
      </c>
      <c r="D35" s="425"/>
      <c r="G35" s="429" t="s">
        <v>322</v>
      </c>
      <c r="H35" s="430"/>
      <c r="I35" s="424">
        <f ca="1">'FCFF Model'!C34*0.8</f>
        <v>32.908772587762407</v>
      </c>
      <c r="J35" s="425"/>
    </row>
    <row r="36" spans="2:11" ht="15.75" customHeight="1" x14ac:dyDescent="0.3">
      <c r="B36" s="146" t="s">
        <v>321</v>
      </c>
      <c r="C36" s="370">
        <f>E28</f>
        <v>4000</v>
      </c>
      <c r="D36" s="426"/>
    </row>
    <row r="37" spans="2:11" ht="15.75" customHeight="1" x14ac:dyDescent="0.3"/>
    <row r="38" spans="2:11" ht="15.75" customHeight="1" x14ac:dyDescent="0.3">
      <c r="J38" s="427"/>
      <c r="K38" s="428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3">
    <mergeCell ref="C35:D35"/>
    <mergeCell ref="C36:D36"/>
    <mergeCell ref="I35:J35"/>
    <mergeCell ref="J38:K38"/>
    <mergeCell ref="G35:H35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8" priority="23" operator="lessThan">
      <formula>0</formula>
    </cfRule>
  </conditionalFormatting>
  <conditionalFormatting sqref="C26:E26 I26 C28:G29 I28:I29">
    <cfRule type="containsBlanks" priority="17">
      <formula>LEN(TRIM(C26))=0</formula>
    </cfRule>
  </conditionalFormatting>
  <conditionalFormatting sqref="D16 D18">
    <cfRule type="cellIs" dxfId="17" priority="13" operator="lessThan">
      <formula>0</formula>
    </cfRule>
  </conditionalFormatting>
  <conditionalFormatting sqref="H16">
    <cfRule type="cellIs" dxfId="16" priority="8" operator="greaterThan">
      <formula>$B$16</formula>
    </cfRule>
  </conditionalFormatting>
  <conditionalFormatting sqref="H14">
    <cfRule type="cellIs" dxfId="15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J38:K38">
    <cfRule type="containsBlanks" priority="2">
      <formula>LEN(TRIM(J38))=0</formula>
    </cfRule>
  </conditionalFormatting>
  <conditionalFormatting sqref="E26:H26">
    <cfRule type="containsBlanks" dxfId="0" priority="1">
      <formula>LEN(TRIM(E26))=0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4" priority="3">
      <formula>LEN(TRIM(C7))=0</formula>
    </cfRule>
  </conditionalFormatting>
  <conditionalFormatting sqref="D17:M18">
    <cfRule type="containsBlanks" dxfId="13" priority="4">
      <formula>LEN(TRIM(D17))=0</formula>
    </cfRule>
  </conditionalFormatting>
  <conditionalFormatting sqref="C37:M40">
    <cfRule type="containsBlanks" dxfId="12" priority="5">
      <formula>LEN(TRIM(C37))=0</formula>
    </cfRule>
  </conditionalFormatting>
  <conditionalFormatting sqref="B51:M52">
    <cfRule type="expression" dxfId="11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44" sqref="I4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323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324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325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326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327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328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1">
        <f>D53+D54+D55</f>
        <v>8694432</v>
      </c>
      <c r="E52" s="432"/>
      <c r="F52" s="53"/>
      <c r="G52" s="53"/>
    </row>
    <row r="53" spans="2:9" ht="14.5" thickTop="1" x14ac:dyDescent="0.3">
      <c r="B53" s="58" t="s">
        <v>231</v>
      </c>
      <c r="C53" s="6"/>
      <c r="D53" s="434">
        <f>SUM(I11:I13)+SUM(I28:I30)</f>
        <v>8694432</v>
      </c>
      <c r="E53" s="366"/>
      <c r="F53" s="5"/>
      <c r="G53" s="5"/>
      <c r="H53" s="3" t="s">
        <v>329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1">
        <v>0</v>
      </c>
      <c r="E54" s="37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1">
        <v>0</v>
      </c>
      <c r="E55" s="37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3"/>
      <c r="E57" s="433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39">
        <f>((Dashboard!I6*Data!C4)+D52+E50-C58-C59)</f>
        <v>128260855.23500001</v>
      </c>
      <c r="E60" s="44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37">
        <f>((C26-C11-C12-C14-C15-C16*G16-C19*G19-C20*G20)-I26)/Data!C7</f>
        <v>-0.64687443506582265</v>
      </c>
      <c r="E63" s="438"/>
    </row>
    <row r="64" spans="2:9" ht="15" customHeight="1" x14ac:dyDescent="0.3">
      <c r="B64" s="3" t="s">
        <v>262</v>
      </c>
      <c r="D64" s="435">
        <v>6.3399999999999998E-2</v>
      </c>
      <c r="E64" s="436"/>
      <c r="F64" s="266" t="s">
        <v>247</v>
      </c>
    </row>
    <row r="65" spans="2:5" ht="15" customHeight="1" x14ac:dyDescent="0.3">
      <c r="B65" s="292" t="s">
        <v>264</v>
      </c>
      <c r="D65" s="435">
        <f>D63</f>
        <v>-0.64687443506582265</v>
      </c>
      <c r="E65" s="436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307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308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10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9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8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7" priority="4">
      <formula>LEN(TRIM(E16))=0</formula>
    </cfRule>
  </conditionalFormatting>
  <conditionalFormatting sqref="G7:J16 G18:J18 J17">
    <cfRule type="containsBlanks" dxfId="6" priority="3">
      <formula>LEN(TRIM(G7))=0</formula>
    </cfRule>
  </conditionalFormatting>
  <conditionalFormatting sqref="E17">
    <cfRule type="containsBlanks" dxfId="5" priority="2">
      <formula>LEN(TRIM(E17))=0</formula>
    </cfRule>
  </conditionalFormatting>
  <conditionalFormatting sqref="G17:I17">
    <cfRule type="containsBlanks" dxfId="4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4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4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48" t="s">
        <v>226</v>
      </c>
      <c r="F23" s="448"/>
      <c r="G23" s="448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45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6"/>
      <c r="G26" s="352">
        <f ca="1">$F$25+E26+$G$19</f>
        <v>3.447397142838577</v>
      </c>
      <c r="I26" s="74" t="s">
        <v>311</v>
      </c>
    </row>
    <row r="27" spans="1:9" ht="15.75" customHeight="1" x14ac:dyDescent="0.3">
      <c r="B27" s="302" t="s">
        <v>309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47"/>
      <c r="G27" s="207">
        <f ca="1">$F$25+E27+$G$19</f>
        <v>4.6649141873049986</v>
      </c>
      <c r="I27" s="74" t="s">
        <v>310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2" t="s">
        <v>148</v>
      </c>
      <c r="D32" s="443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3" priority="5">
      <formula>LEN(TRIM(E4))=0</formula>
    </cfRule>
  </conditionalFormatting>
  <conditionalFormatting sqref="E25:E27 G25:G27">
    <cfRule type="cellIs" dxfId="2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312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313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314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315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316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317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2023-03-16T02:09:33Z</dcterms:modified>
  <cp:category/>
  <cp:contentStatus/>
</cp:coreProperties>
</file>