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4B9DD3C6-5F55-4841-806C-9A23754FA6A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34" i="2" l="1"/>
  <c r="H34" i="2"/>
  <c r="I34" i="2"/>
  <c r="J34" i="2"/>
  <c r="K34" i="2"/>
  <c r="L34" i="2"/>
  <c r="M34" i="2"/>
  <c r="E34" i="2"/>
  <c r="F34" i="2"/>
  <c r="D34" i="2"/>
  <c r="C34" i="2"/>
  <c r="H52" i="2"/>
  <c r="D52" i="2"/>
  <c r="E52" i="2"/>
  <c r="F52" i="2"/>
  <c r="G52" i="2"/>
  <c r="I52" i="2"/>
  <c r="J52" i="2"/>
  <c r="K52" i="2"/>
  <c r="L52" i="2"/>
  <c r="M52" i="2"/>
  <c r="C52" i="2"/>
  <c r="E8" i="5"/>
  <c r="D50" i="5"/>
  <c r="C12" i="1"/>
  <c r="I12" i="7"/>
  <c r="I11" i="7"/>
  <c r="I7" i="7"/>
  <c r="I6" i="7"/>
  <c r="G6" i="7"/>
  <c r="D12" i="4"/>
  <c r="E5" i="7"/>
  <c r="E4" i="7"/>
  <c r="C6" i="7"/>
  <c r="D5" i="7" s="1"/>
  <c r="G33" i="4"/>
  <c r="C11" i="4"/>
  <c r="D11" i="4"/>
  <c r="C12" i="7"/>
  <c r="D4" i="7" l="1"/>
  <c r="E6" i="7"/>
  <c r="E12" i="7"/>
  <c r="D20" i="2"/>
  <c r="E20" i="2"/>
  <c r="F20" i="2"/>
  <c r="G20" i="2"/>
  <c r="H20" i="2"/>
  <c r="I20" i="2"/>
  <c r="J20" i="2"/>
  <c r="K20" i="2"/>
  <c r="L20" i="2"/>
  <c r="M20" i="2"/>
  <c r="C20" i="2"/>
  <c r="F4" i="7" l="1"/>
  <c r="F5" i="7"/>
  <c r="E16" i="1"/>
  <c r="G16" i="3"/>
  <c r="G12" i="7" l="1"/>
  <c r="G7" i="7"/>
  <c r="I8" i="7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B3" i="7"/>
  <c r="C10" i="7"/>
  <c r="C15" i="7" s="1"/>
  <c r="C18" i="7" s="1"/>
  <c r="C4" i="4" s="1"/>
  <c r="E7" i="7"/>
  <c r="C7" i="4" l="1"/>
  <c r="C8" i="4" s="1"/>
  <c r="C9" i="4" s="1"/>
  <c r="C10" i="4" s="1"/>
  <c r="E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8" i="7" l="1"/>
  <c r="E10" i="7" s="1"/>
  <c r="E15" i="7" s="1"/>
  <c r="E16" i="7" s="1"/>
  <c r="E18" i="7" s="1"/>
  <c r="G9" i="7"/>
  <c r="G8" i="7" s="1"/>
  <c r="G10" i="7" s="1"/>
  <c r="G15" i="7" s="1"/>
  <c r="D52" i="3"/>
  <c r="C20" i="4" s="1"/>
  <c r="D20" i="4" s="1"/>
  <c r="I53" i="3"/>
  <c r="C7" i="1"/>
  <c r="E14" i="7"/>
  <c r="C44" i="3"/>
  <c r="C25" i="3"/>
  <c r="I14" i="7" l="1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/>
  <c r="F4" i="4" s="1"/>
  <c r="C45" i="3"/>
  <c r="E12" i="3"/>
  <c r="G18" i="7" l="1"/>
  <c r="E4" i="4" s="1"/>
  <c r="D7" i="4"/>
  <c r="D8" i="4" s="1"/>
  <c r="D9" i="4" s="1"/>
  <c r="D10" i="4" s="1"/>
  <c r="D5" i="4"/>
  <c r="F7" i="4"/>
  <c r="F8" i="4" s="1"/>
  <c r="F9" i="4" s="1"/>
  <c r="F11" i="4" s="1"/>
  <c r="F12" i="4" s="1"/>
  <c r="F5" i="4"/>
  <c r="E5" i="4"/>
  <c r="E7" i="4"/>
  <c r="E8" i="4" s="1"/>
  <c r="D54" i="5"/>
  <c r="I17" i="7" l="1"/>
  <c r="G17" i="7"/>
  <c r="E9" i="4"/>
  <c r="E11" i="4" s="1"/>
  <c r="E12" i="4" s="1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2" i="5"/>
  <c r="D33" i="5"/>
  <c r="D34" i="5"/>
  <c r="D35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5" i="5"/>
  <c r="D4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8" i="5"/>
  <c r="B78" i="5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D62" i="5"/>
  <c r="D61" i="5"/>
  <c r="D60" i="5"/>
  <c r="D59" i="5"/>
  <c r="D58" i="5"/>
  <c r="D57" i="5"/>
  <c r="D53" i="5"/>
  <c r="D52" i="5"/>
  <c r="D51" i="5"/>
  <c r="D49" i="5"/>
  <c r="D48" i="5"/>
  <c r="D47" i="5"/>
  <c r="D46" i="5"/>
  <c r="D45" i="5"/>
  <c r="D44" i="5"/>
  <c r="D42" i="5"/>
  <c r="D41" i="5"/>
  <c r="D40" i="5"/>
  <c r="D39" i="5"/>
  <c r="D38" i="5"/>
  <c r="D37" i="5" s="1"/>
  <c r="D36" i="5"/>
  <c r="D31" i="5" s="1"/>
  <c r="D29" i="5"/>
  <c r="D28" i="5"/>
  <c r="D27" i="5"/>
  <c r="D26" i="5"/>
  <c r="D25" i="5"/>
  <c r="D23" i="5"/>
  <c r="D22" i="5"/>
  <c r="D21" i="5"/>
  <c r="D20" i="5"/>
  <c r="D17" i="5"/>
  <c r="D16" i="5"/>
  <c r="D15" i="5"/>
  <c r="D14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C33" i="2" l="1"/>
  <c r="C35" i="2" s="1"/>
  <c r="E33" i="2"/>
  <c r="D33" i="2"/>
  <c r="D7" i="5"/>
  <c r="D56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3" i="5"/>
  <c r="E43" i="5" s="1"/>
  <c r="E24" i="3"/>
  <c r="C46" i="3"/>
  <c r="E3" i="3" s="1"/>
  <c r="D55" i="5" a="1"/>
  <c r="D55" i="5" s="1"/>
  <c r="E31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E56" i="5" l="1"/>
  <c r="D8" i="5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I24" i="3"/>
  <c r="E50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7" i="5"/>
  <c r="K17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3" i="5"/>
  <c r="E63" i="5" s="1"/>
  <c r="J24" i="3"/>
  <c r="I44" i="3"/>
  <c r="E19" i="5" s="1"/>
  <c r="E17" i="2"/>
  <c r="I17" i="2"/>
  <c r="D17" i="2"/>
  <c r="D46" i="3"/>
  <c r="I45" i="3" l="1"/>
  <c r="I10" i="1"/>
  <c r="E50" i="3" s="1"/>
  <c r="D50" i="3" s="1"/>
  <c r="J44" i="3"/>
  <c r="D19" i="5"/>
  <c r="E7" i="5" s="1"/>
  <c r="C21" i="4" l="1"/>
  <c r="D60" i="3"/>
  <c r="D21" i="4" l="1"/>
  <c r="G21" i="4" s="1"/>
  <c r="G18" i="4"/>
  <c r="D49" i="3"/>
  <c r="D6" i="3"/>
  <c r="D7" i="3" s="1"/>
  <c r="G19" i="4" l="1"/>
  <c r="H16" i="1" s="1"/>
  <c r="E6" i="3"/>
  <c r="I7" i="3"/>
  <c r="I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15" i="4" l="1"/>
  <c r="F25" i="4" s="1"/>
  <c r="G8" i="4" l="1"/>
  <c r="G9" i="4" s="1"/>
  <c r="G12" i="4" l="1"/>
  <c r="C33" i="4" s="1"/>
  <c r="E25" i="4"/>
  <c r="G25" i="4" s="1"/>
  <c r="E26" i="4"/>
  <c r="G26" i="4" s="1"/>
  <c r="E29" i="4" s="1"/>
  <c r="F14" i="1" s="1"/>
  <c r="G15" i="4" l="1"/>
  <c r="F33" i="4" l="1"/>
  <c r="E33" i="4" l="1"/>
  <c r="C11" i="1" l="1"/>
  <c r="D13" i="5" l="1"/>
  <c r="E65" i="5" l="1"/>
  <c r="D65" i="5" s="1"/>
  <c r="D6" i="5"/>
  <c r="C29" i="4" l="1"/>
  <c r="D29" i="4" s="1"/>
  <c r="D9" i="5"/>
  <c r="E9" i="5" s="1"/>
  <c r="E6" i="5"/>
  <c r="C32" i="4" l="1"/>
  <c r="H14" i="1" s="1"/>
  <c r="D14" i="1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<sst xmlns="http://schemas.openxmlformats.org/spreadsheetml/2006/main" count="385" uniqueCount="324">
  <si>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</si>
  <si>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</si>
  <si>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</si>
  <si>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</si>
  <si>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</si>
  <si>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</si>
  <si>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</si>
  <si>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</si>
  <si>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</si>
  <si>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</si>
  <si>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</si>
  <si>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</si>
  <si>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</si>
  <si>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</si>
  <si>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</si>
  <si>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</si>
  <si>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</si>
  <si>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</si>
  <si>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</si>
  <si>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</si>
  <si>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</si>
  <si>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</si>
  <si>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</si>
  <si>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</si>
  <si>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</si>
  <si>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</si>
  <si>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</si>
  <si>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</si>
  <si>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</si>
  <si>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</si>
  <si>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</si>
  <si>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</si>
  <si>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</si>
  <si>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</si>
  <si>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</si>
  <si>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</si>
  <si>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</si>
  <si>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</si>
  <si>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</si>
  <si>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</si>
  <si>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</si>
  <si>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</si>
  <si>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</si>
  <si>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</si>
  <si>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</si>
  <si>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</si>
  <si>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</si>
  <si>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</si>
  <si>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</si>
  <si>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</si>
  <si>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</si>
  <si>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</si>
  <si>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</si>
  <si>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</si>
  <si>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</si>
  <si>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</si>
  <si>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</si>
  <si>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</si>
  <si>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</si>
  <si>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</si>
  <si>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</si>
  <si>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</si>
  <si>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</si>
  <si>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</si>
  <si>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</si>
  <si>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</si>
  <si>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</si>
  <si>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</si>
  <si>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</si>
  <si>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</si>
  <si>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</si>
  <si>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</si>
  <si>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</si>
  <si>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</si>
  <si>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</si>
  <si>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</si>
  <si>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</si>
  <si>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</si>
  <si>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</si>
  <si>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</si>
  <si>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</si>
  <si>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</si>
  <si>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</si>
  <si>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</si>
  <si>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</si>
  <si>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</si>
  <si>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</si>
  <si>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</si>
  <si>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</si>
  <si>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</si>
  <si>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</si>
  <si>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</si>
  <si>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</si>
  <si>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</si>
  <si>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</si>
  <si>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</si>
  <si>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</si>
  <si>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</si>
  <si>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</si>
  <si>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</si>
  <si>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</si>
  <si>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</si>
  <si>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</si>
  <si>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</si>
  <si>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</si>
  <si>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</si>
  <si>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</si>
  <si>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</si>
  <si>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</si>
  <si>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</si>
  <si>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</si>
  <si>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</si>
  <si>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</si>
  <si>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</si>
  <si>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</si>
  <si>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</si>
  <si>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</si>
  <si>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</si>
  <si>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</si>
  <si>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</si>
  <si>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</si>
  <si>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</si>
  <si>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</si>
  <si>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</si>
  <si>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</si>
  <si>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</si>
  <si>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</si>
  <si>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</si>
  <si>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</si>
  <si>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</si>
  <si>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</si>
  <si>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</si>
  <si>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</si>
  <si>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</si>
  <si>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</si>
  <si>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</si>
  <si>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</si>
  <si>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</si>
  <si>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</si>
  <si>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</si>
  <si>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</si>
  <si>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</si>
  <si>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</si>
  <si>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</si>
  <si>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</si>
  <si>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</si>
  <si>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</si>
  <si>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</si>
  <si>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</si>
  <si>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</si>
  <si>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</si>
  <si>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</si>
  <si>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</si>
  <si>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</si>
  <si>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</si>
  <si>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</si>
  <si>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</si>
  <si>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</si>
  <si>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</si>
  <si>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</si>
  <si>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</si>
  <si>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</si>
  <si>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</si>
  <si>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</si>
  <si>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</si>
  <si>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</si>
  <si>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</si>
  <si>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</si>
  <si>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</si>
  <si>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</si>
  <si>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</si>
  <si>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</si>
  <si>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</si>
  <si>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</si>
  <si>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</si>
  <si>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</si>
  <si>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</si>
  <si>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</si>
  <si>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</si>
  <si>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</si>
  <si>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</si>
  <si>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</si>
  <si>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</si>
  <si>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</si>
  <si>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</si>
  <si>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</si>
  <si>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</si>
  <si>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</si>
  <si>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</si>
  <si>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</si>
  <si>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</si>
  <si>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</si>
  <si>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</si>
  <si>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</si>
  <si>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</si>
  <si>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</si>
  <si>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</si>
  <si>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</si>
  <si>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</si>
  <si>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</si>
  <si>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</si>
  <si>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</si>
  <si>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</si>
  <si>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</si>
  <si>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</si>
  <si>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</si>
  <si>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</si>
  <si>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</si>
  <si>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</si>
  <si>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</si>
  <si>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</si>
  <si>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</si>
  <si>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</si>
  <si>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</si>
  <si>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</si>
  <si>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</si>
  <si>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</si>
  <si>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</si>
  <si>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</si>
  <si>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</si>
  <si>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</si>
  <si>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</si>
  <si>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</si>
  <si>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</si>
  <si>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</si>
  <si>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</si>
  <si>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</si>
  <si>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PV of Investor Cash Inflow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</si>
  <si>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</si>
  <si>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</si>
  <si>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</si>
  <si>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</si>
  <si>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</si>
  <si>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</si>
  <si>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</si>
  <si>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</si>
  <si>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</si>
  <si>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</si>
  <si>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</si>
  <si>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</si>
  <si>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</si>
  <si>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</si>
  <si>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</si>
  <si>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</si>
  <si>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</si>
  <si>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</si>
  <si>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</si>
  <si>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</si>
  <si>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</si>
  <si>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</si>
  <si>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</si>
  <si>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</si>
  <si>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</si>
  <si>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</si>
  <si>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</si>
  <si>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</si>
  <si>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</si>
  <si>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</si>
  <si>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</si>
  <si>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Cheap given Risk</t>
  </si>
  <si>
    <t>Reasonable given Risk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</si>
  <si>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</si>
  <si>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</si>
  <si>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</si>
  <si>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</si>
  <si>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</si>
  <si>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</si>
  <si>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</si>
  <si>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</si>
  <si>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</si>
  <si>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</si>
  <si>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</si>
  <si>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</si>
  <si>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</si>
  <si>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</si>
  <si>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</si>
  <si>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</si>
  <si>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</si>
  <si>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</si>
  <si>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</si>
  <si>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</si>
  <si>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</si>
  <si>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</si>
  <si>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</si>
  <si>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</si>
  <si>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</si>
  <si>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</si>
  <si>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</si>
  <si>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0411.HK</t>
  </si>
  <si>
    <t>LAM SOON (HK)</t>
  </si>
  <si>
    <t>麵粉、食用油及家居護理產品業務</t>
  </si>
  <si>
    <t>1. 商品和原材料價格高
2. 供應鏈和通脹压力</t>
  </si>
  <si>
    <t>+ ERP</t>
  </si>
  <si>
    <t>香港及澳門</t>
  </si>
  <si>
    <t>中國大陸</t>
  </si>
  <si>
    <t>NOPAT Growth rate</t>
  </si>
  <si>
    <t>Investor's Expected Inflows</t>
  </si>
  <si>
    <t>NOPAT growth Rate</t>
  </si>
  <si>
    <t>1. Chinese is still fundamentally sound with ample rooms to grow in consumption</t>
  </si>
  <si>
    <t>1. Good brand value to compete in high-end market
2. Established distribution channels in China</t>
  </si>
  <si>
    <t>1. The dividend is a bit low given the payout ratio
2. Cyclical market that's not in company's control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</si>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</sst>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Ideal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3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0" fillId="0" borderId="9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84" fontId="4" fillId="8" borderId="11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10" sqref="E1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11" t="str">
        <f>C3&amp;" : "&amp;C4</f>
        <v>0411.HK : LAM SOON (HK)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3" t="s">
        <v>288</v>
      </c>
      <c r="D3" s="374"/>
      <c r="E3" s="15"/>
      <c r="G3" s="7" t="s">
        <v>2</v>
      </c>
      <c r="I3" s="381" t="s">
        <v>3</v>
      </c>
      <c r="J3" s="382"/>
    </row>
    <row r="4" spans="1:12" ht="15.75" customHeight="1" x14ac:dyDescent="0.3">
      <c r="B4" s="5" t="s">
        <v>4</v>
      </c>
      <c r="C4" s="375" t="s">
        <v>289</v>
      </c>
      <c r="D4" s="376"/>
      <c r="E4" s="6"/>
      <c r="G4" s="5" t="s">
        <v>5</v>
      </c>
      <c r="I4" s="33">
        <v>10</v>
      </c>
      <c r="J4" s="34" t="s">
        <v>6</v>
      </c>
      <c r="K4" s="154"/>
    </row>
    <row r="5" spans="1:12" ht="15.75" customHeight="1" x14ac:dyDescent="0.3">
      <c r="B5" s="5" t="s">
        <v>7</v>
      </c>
      <c r="C5" s="377">
        <v>44984</v>
      </c>
      <c r="D5" s="376"/>
      <c r="E5" s="124" t="str">
        <f ca="1">IF(C5+30&gt;=TODAY(),"Patience Premium","")</f>
        <v>Patience Premium</v>
      </c>
      <c r="G5" s="5" t="s">
        <v>8</v>
      </c>
      <c r="I5" s="383">
        <v>243354000</v>
      </c>
      <c r="J5" s="384"/>
      <c r="K5" s="153"/>
      <c r="L5" s="86"/>
    </row>
    <row r="6" spans="1:12" ht="15.75" customHeight="1" x14ac:dyDescent="0.3">
      <c r="B6" s="12" t="s">
        <v>265</v>
      </c>
      <c r="C6" s="272">
        <v>8</v>
      </c>
      <c r="D6" s="273">
        <f>EOMONTH(EDATE(Asset_Model!D9,C6),0)</f>
        <v>45169</v>
      </c>
      <c r="E6" s="124"/>
      <c r="G6" s="136" t="s">
        <v>9</v>
      </c>
      <c r="H6" s="135"/>
      <c r="I6" s="385">
        <f>I4*I5/1000000</f>
        <v>2433.54</v>
      </c>
      <c r="J6" s="386"/>
      <c r="K6" s="153"/>
    </row>
    <row r="7" spans="1:12" ht="15.75" customHeight="1" x14ac:dyDescent="0.3">
      <c r="B7" s="141" t="s">
        <v>10</v>
      </c>
      <c r="C7" s="147">
        <f>(Data!C39)/I4</f>
        <v>4.6521117384550906E-2</v>
      </c>
      <c r="D7" s="147">
        <f>(Data!C40)/I4</f>
        <v>0</v>
      </c>
      <c r="E7" s="155"/>
      <c r="F7" s="6"/>
    </row>
    <row r="8" spans="1:12" ht="15.75" customHeight="1" x14ac:dyDescent="0.3">
      <c r="C8" s="98"/>
      <c r="E8" s="6"/>
      <c r="G8" s="21" t="s">
        <v>11</v>
      </c>
      <c r="H8" s="134"/>
      <c r="I8" s="6"/>
      <c r="J8" s="6"/>
    </row>
    <row r="9" spans="1:12" ht="15.75" customHeight="1" x14ac:dyDescent="0.3">
      <c r="B9" s="21" t="s">
        <v>12</v>
      </c>
      <c r="C9" s="304"/>
      <c r="D9" s="302"/>
      <c r="E9" s="5"/>
      <c r="G9" s="5" t="s">
        <v>13</v>
      </c>
      <c r="I9" s="123">
        <f>IF(Data!F3&lt;=0,"NNI",I4/((Data!F3*I12)/(I5/Data!C4)))</f>
        <v>9.4594573583145447</v>
      </c>
      <c r="J9" s="49">
        <f>IF(I9="NNI","NNI",1/I9)</f>
        <v>0.10571430919565737</v>
      </c>
    </row>
    <row r="10" spans="1:12" ht="15.75" customHeight="1" x14ac:dyDescent="0.3">
      <c r="B10" s="3" t="s">
        <v>284</v>
      </c>
      <c r="C10" s="303" t="s">
        <v>285</v>
      </c>
      <c r="D10" s="303">
        <v>2.92E-2</v>
      </c>
      <c r="E10" s="5"/>
      <c r="G10" s="5" t="s">
        <v>14</v>
      </c>
      <c r="I10" s="140">
        <f>I4/(Data!C28*I12*Data!C4/Common_Shares)</f>
        <v>0.8223852734795839</v>
      </c>
      <c r="J10" s="132">
        <f>IF(Asset_Model!D60/'FCFF Model'!C4&lt;0,"Negative EV",Asset_Model!D60/'FCFF Model'!C4)</f>
        <v>5.1051178248226314</v>
      </c>
    </row>
    <row r="11" spans="1:12" ht="15.75" customHeight="1" thickBot="1" x14ac:dyDescent="0.35">
      <c r="B11" s="316" t="s">
        <v>292</v>
      </c>
      <c r="C11" s="395">
        <f ca="1">C12-D10</f>
        <v>6.6799999999999998E-2</v>
      </c>
      <c r="D11" s="396"/>
      <c r="E11" s="13"/>
      <c r="G11" s="5" t="s">
        <v>15</v>
      </c>
      <c r="H11" s="6"/>
      <c r="I11" s="393" t="s">
        <v>6</v>
      </c>
      <c r="J11" s="394"/>
    </row>
    <row r="12" spans="1:12" ht="15.75" customHeight="1" thickTop="1" x14ac:dyDescent="0.3">
      <c r="B12" s="317" t="s">
        <v>154</v>
      </c>
      <c r="C12" s="350">
        <f ca="1">IF(C10="CN",8%,6%)*IF($C$5+30&gt;=TODAY(),1.2,1)</f>
        <v>9.6000000000000002E-2</v>
      </c>
      <c r="D12" s="351"/>
      <c r="G12" s="136" t="s">
        <v>16</v>
      </c>
      <c r="H12" s="135"/>
      <c r="I12" s="137">
        <v>1</v>
      </c>
      <c r="J12" s="138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9" t="s">
        <v>223</v>
      </c>
      <c r="D14" s="186">
        <f ca="1">'FCFF Model'!C29</f>
        <v>9.0838272445177033</v>
      </c>
      <c r="E14" s="129" t="s">
        <v>241</v>
      </c>
      <c r="F14" s="186">
        <f ca="1">'FCFF Model'!E29</f>
        <v>11.973137953596096</v>
      </c>
      <c r="G14" s="187" t="s">
        <v>24</v>
      </c>
      <c r="H14" s="195">
        <f ca="1">IF('FCFF Model'!C32&lt;0, "Error", 'FCFF Model'!C32)</f>
        <v>11.279703383417282</v>
      </c>
      <c r="I14" s="135"/>
      <c r="J14" s="135"/>
    </row>
    <row r="15" spans="1:12" ht="15.75" customHeight="1" x14ac:dyDescent="0.3">
      <c r="A15" s="6"/>
      <c r="B15" s="98"/>
      <c r="C15" s="240" t="s">
        <v>257</v>
      </c>
      <c r="D15" s="90" t="s">
        <v>19</v>
      </c>
      <c r="E15" s="90" t="s">
        <v>20</v>
      </c>
      <c r="F15" s="90" t="s">
        <v>21</v>
      </c>
      <c r="G15" s="141"/>
      <c r="H15" s="61" t="s">
        <v>23</v>
      </c>
      <c r="J15" s="130" t="s">
        <v>22</v>
      </c>
    </row>
    <row r="16" spans="1:12" ht="15.75" customHeight="1" x14ac:dyDescent="0.3">
      <c r="B16" s="133">
        <f>I4</f>
        <v>10</v>
      </c>
      <c r="C16" s="364">
        <v>0.1</v>
      </c>
      <c r="D16" s="161">
        <f ca="1">H14/B16-1-C16</f>
        <v>2.7970338341728102E-2</v>
      </c>
      <c r="E16" s="357">
        <f>'FCFF Model'!D12*Exchange_Rate</f>
        <v>0.28000000000000003</v>
      </c>
      <c r="F16" s="163">
        <f>E16/B16</f>
        <v>2.8000000000000004E-2</v>
      </c>
      <c r="G16" s="367" t="s">
        <v>25</v>
      </c>
      <c r="H16" s="387">
        <f>('FCFF Model'!G19)*Exchange_Rate</f>
        <v>6.067605833477157</v>
      </c>
      <c r="I16" s="367" t="s">
        <v>26</v>
      </c>
      <c r="J16" s="208">
        <f>B16-$H$16</f>
        <v>3.932394166522843</v>
      </c>
    </row>
    <row r="17" spans="1:10" ht="15.75" customHeight="1" x14ac:dyDescent="0.3">
      <c r="B17" s="293">
        <f ca="1">H14/(1+C16)</f>
        <v>10.254275803106619</v>
      </c>
      <c r="C17" s="365"/>
      <c r="D17" s="292">
        <f ca="1">H14/B17-1-C16</f>
        <v>0</v>
      </c>
      <c r="E17" s="358"/>
      <c r="F17" s="164">
        <f ca="1">E16/B17</f>
        <v>2.7305682563674723E-2</v>
      </c>
      <c r="G17" s="368"/>
      <c r="H17" s="388"/>
      <c r="I17" s="368"/>
      <c r="J17" s="207">
        <f ca="1">B17-$H$16</f>
        <v>4.1866699696294623</v>
      </c>
    </row>
    <row r="18" spans="1:10" ht="15.75" customHeight="1" x14ac:dyDescent="0.3">
      <c r="B18" s="291">
        <v>9.4</v>
      </c>
      <c r="C18" s="366"/>
      <c r="D18" s="162">
        <f ca="1">H14/B18-1-C16</f>
        <v>9.9968445044391702E-2</v>
      </c>
      <c r="E18" s="359"/>
      <c r="F18" s="165">
        <f>E16/B18</f>
        <v>2.9787234042553193E-2</v>
      </c>
      <c r="G18" s="369"/>
      <c r="H18" s="389"/>
      <c r="I18" s="369"/>
      <c r="J18" s="209">
        <f>B18-$H$16</f>
        <v>3.3323941665228434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263</v>
      </c>
      <c r="D20" s="294" t="s">
        <v>279</v>
      </c>
      <c r="E20" s="268" t="s">
        <v>273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78" t="s">
        <v>290</v>
      </c>
      <c r="D21" s="379"/>
      <c r="E21" s="379"/>
      <c r="F21" s="379"/>
      <c r="G21" s="379"/>
      <c r="H21" s="379"/>
      <c r="I21" s="379"/>
      <c r="J21" s="380"/>
    </row>
    <row r="22" spans="1:10" ht="52.5" customHeight="1" x14ac:dyDescent="0.3">
      <c r="A22" s="6"/>
      <c r="B22" s="24" t="s">
        <v>29</v>
      </c>
      <c r="C22" s="391" t="s">
        <v>299</v>
      </c>
      <c r="D22" s="392"/>
      <c r="E22" s="392"/>
      <c r="F22" s="392"/>
      <c r="G22" s="391" t="s">
        <v>300</v>
      </c>
      <c r="H22" s="391"/>
      <c r="I22" s="392"/>
      <c r="J22" s="392"/>
    </row>
    <row r="23" spans="1:10" ht="52.5" customHeight="1" x14ac:dyDescent="0.3">
      <c r="A23" s="6"/>
      <c r="B23" s="25" t="s">
        <v>30</v>
      </c>
      <c r="C23" s="360" t="s">
        <v>298</v>
      </c>
      <c r="D23" s="361"/>
      <c r="E23" s="361"/>
      <c r="F23" s="361"/>
      <c r="G23" s="360" t="s">
        <v>291</v>
      </c>
      <c r="H23" s="360"/>
      <c r="I23" s="361"/>
      <c r="J23" s="36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5">
        <v>600000</v>
      </c>
      <c r="E25" s="12"/>
      <c r="F25" s="8"/>
      <c r="G25" s="12"/>
      <c r="H25" s="135"/>
      <c r="I25" s="6"/>
      <c r="J25" s="6"/>
    </row>
    <row r="26" spans="1:10" ht="15.75" customHeight="1" x14ac:dyDescent="0.3">
      <c r="B26" s="23" t="s">
        <v>33</v>
      </c>
      <c r="C26" s="362"/>
      <c r="D26" s="363"/>
      <c r="E26" s="362"/>
      <c r="F26" s="363"/>
      <c r="G26" s="352"/>
      <c r="H26" s="353"/>
      <c r="I26" s="390" t="s">
        <v>34</v>
      </c>
      <c r="J26" s="390"/>
    </row>
    <row r="27" spans="1:10" ht="15.75" customHeight="1" x14ac:dyDescent="0.3">
      <c r="B27" s="23" t="s">
        <v>35</v>
      </c>
      <c r="C27" s="356">
        <f>C31/D25</f>
        <v>0.05</v>
      </c>
      <c r="D27" s="355"/>
      <c r="E27" s="354">
        <f>E31/D25</f>
        <v>9.4E-2</v>
      </c>
      <c r="F27" s="355"/>
      <c r="G27" s="371">
        <f>G31/D25</f>
        <v>0.17760000000000004</v>
      </c>
      <c r="H27" s="372"/>
      <c r="I27" s="370">
        <f>C27+E27+G27</f>
        <v>0.32160000000000005</v>
      </c>
      <c r="J27" s="370"/>
    </row>
    <row r="28" spans="1:10" ht="15.75" customHeight="1" x14ac:dyDescent="0.3">
      <c r="B28" s="23" t="s">
        <v>36</v>
      </c>
      <c r="C28" s="417">
        <v>3000</v>
      </c>
      <c r="D28" s="392"/>
      <c r="E28" s="417">
        <v>6000</v>
      </c>
      <c r="F28" s="392"/>
      <c r="G28" s="383">
        <v>12000</v>
      </c>
      <c r="H28" s="384"/>
      <c r="I28" s="407">
        <f>C28+E28+G28</f>
        <v>21000</v>
      </c>
      <c r="J28" s="407"/>
    </row>
    <row r="29" spans="1:10" ht="15.75" customHeight="1" x14ac:dyDescent="0.3">
      <c r="B29" s="23" t="s">
        <v>37</v>
      </c>
      <c r="C29" s="418">
        <v>10</v>
      </c>
      <c r="D29" s="392"/>
      <c r="E29" s="418">
        <v>9.4</v>
      </c>
      <c r="F29" s="392"/>
      <c r="G29" s="397">
        <v>8.8800000000000008</v>
      </c>
      <c r="H29" s="398"/>
      <c r="I29" s="403"/>
      <c r="J29" s="403"/>
    </row>
    <row r="30" spans="1:10" ht="15.75" customHeight="1" x14ac:dyDescent="0.3">
      <c r="B30" s="23" t="s">
        <v>38</v>
      </c>
      <c r="C30" s="405">
        <f>C29*$I$5/1000000</f>
        <v>2433.54</v>
      </c>
      <c r="D30" s="412"/>
      <c r="E30" s="405">
        <f>E29*$I$5/1000000</f>
        <v>2287.5275999999999</v>
      </c>
      <c r="F30" s="412"/>
      <c r="G30" s="399">
        <f>G29*$I$5/1000000</f>
        <v>2160.9835200000002</v>
      </c>
      <c r="H30" s="400"/>
      <c r="I30" s="404"/>
      <c r="J30" s="404"/>
    </row>
    <row r="31" spans="1:10" ht="15.75" customHeight="1" x14ac:dyDescent="0.3">
      <c r="B31" s="2" t="s">
        <v>39</v>
      </c>
      <c r="C31" s="413">
        <f>C28*C29</f>
        <v>30000</v>
      </c>
      <c r="D31" s="414"/>
      <c r="E31" s="406">
        <f>E28*E29</f>
        <v>56400</v>
      </c>
      <c r="F31" s="415"/>
      <c r="G31" s="401">
        <f>G28*G29</f>
        <v>106560.00000000001</v>
      </c>
      <c r="H31" s="402"/>
      <c r="I31" s="406">
        <f>C31+E31+G31</f>
        <v>192960</v>
      </c>
      <c r="J31" s="406"/>
    </row>
    <row r="32" spans="1:10" ht="15.75" customHeight="1" x14ac:dyDescent="0.3">
      <c r="B32" s="1" t="s">
        <v>40</v>
      </c>
      <c r="C32" s="408"/>
      <c r="D32" s="409"/>
      <c r="E32" s="416">
        <f>IF(C31=0,"-",(C31+E31)/(C28+E28))</f>
        <v>9.6</v>
      </c>
      <c r="F32" s="355"/>
      <c r="G32" s="119"/>
      <c r="H32" s="119"/>
      <c r="I32" s="416">
        <f>IF(I31=0,"",I31/I28)</f>
        <v>9.1885714285714286</v>
      </c>
      <c r="J32" s="416"/>
    </row>
    <row r="33" spans="2:10" ht="15.75" customHeight="1" x14ac:dyDescent="0.3">
      <c r="B33" s="1" t="s">
        <v>41</v>
      </c>
      <c r="C33" s="410"/>
      <c r="D33" s="411"/>
      <c r="E33" s="405">
        <f>IF(E32="-","-",E32*$I$5/1000000)</f>
        <v>2336.1984000000002</v>
      </c>
      <c r="F33" s="412"/>
      <c r="G33" s="120"/>
      <c r="H33" s="120"/>
      <c r="I33" s="405">
        <f>IF(I32="","",I32*$I$5/1000000)</f>
        <v>2236.0756114285714</v>
      </c>
      <c r="J33" s="405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49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</mergeCells>
  <conditionalFormatting sqref="I16">
    <cfRule type="cellIs" dxfId="14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 D18">
    <cfRule type="cellIs" dxfId="13" priority="9" operator="lessThan">
      <formula>0</formula>
    </cfRule>
  </conditionalFormatting>
  <conditionalFormatting sqref="H16">
    <cfRule type="cellIs" dxfId="12" priority="4" operator="greaterThan">
      <formula>$B$16</formula>
    </cfRule>
  </conditionalFormatting>
  <conditionalFormatting sqref="H14">
    <cfRule type="cellIs" dxfId="11" priority="1" operator="greaterThan">
      <formula>$B$16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abSelected="1" topLeftCell="A22" zoomScaleNormal="100" workbookViewId="0">
      <selection activeCell="F37" sqref="F37:F3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7"/>
      <c r="B1" s="38"/>
      <c r="C1" s="39"/>
      <c r="D1" s="39"/>
      <c r="E1" s="39"/>
      <c r="F1" s="39"/>
    </row>
    <row r="2" spans="1:14" ht="15.75" customHeight="1" x14ac:dyDescent="0.3">
      <c r="A2" s="40"/>
      <c r="B2" s="11" t="s">
        <v>42</v>
      </c>
      <c r="C2" s="41"/>
      <c r="D2" s="41"/>
      <c r="E2" s="41"/>
      <c r="F2" s="41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51">
        <v>44742</v>
      </c>
      <c r="D3" s="6"/>
      <c r="E3" s="181">
        <v>1</v>
      </c>
      <c r="F3" s="179">
        <f t="array" ref="F3">AVERAGE(C19:INDEX(C19:M19,1,E3))</f>
        <v>257260</v>
      </c>
      <c r="G3" s="6"/>
      <c r="H3" s="5"/>
      <c r="I3" s="6"/>
      <c r="J3" s="176"/>
      <c r="K3" s="6"/>
      <c r="L3" s="6"/>
      <c r="M3" s="6"/>
    </row>
    <row r="4" spans="1:14" ht="15.75" customHeight="1" x14ac:dyDescent="0.3">
      <c r="A4" s="9"/>
      <c r="B4" s="5" t="s">
        <v>44</v>
      </c>
      <c r="C4" s="36">
        <v>1000</v>
      </c>
      <c r="D4" s="6"/>
      <c r="E4" s="42">
        <f>E3</f>
        <v>1</v>
      </c>
      <c r="F4" s="180">
        <f>AVERAGE(C16:INDEX(C16:M16,1,E4))</f>
        <v>245534</v>
      </c>
      <c r="G4" s="6"/>
      <c r="I4" s="6"/>
      <c r="J4" s="8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3"/>
      <c r="C6" s="281">
        <f>C3</f>
        <v>44742</v>
      </c>
      <c r="D6" s="282">
        <f>EOMONTH(EDATE(C6,-12),0)</f>
        <v>44377</v>
      </c>
      <c r="E6" s="282">
        <f t="shared" ref="E6:M6" si="0">EOMONTH(EDATE(D6,-12),0)</f>
        <v>44012</v>
      </c>
      <c r="F6" s="282">
        <f t="shared" si="0"/>
        <v>43646</v>
      </c>
      <c r="G6" s="282">
        <f t="shared" si="0"/>
        <v>43281</v>
      </c>
      <c r="H6" s="282">
        <f t="shared" si="0"/>
        <v>42916</v>
      </c>
      <c r="I6" s="282">
        <f t="shared" si="0"/>
        <v>42551</v>
      </c>
      <c r="J6" s="282">
        <f t="shared" si="0"/>
        <v>42185</v>
      </c>
      <c r="K6" s="282">
        <f t="shared" si="0"/>
        <v>41820</v>
      </c>
      <c r="L6" s="282">
        <f t="shared" si="0"/>
        <v>41455</v>
      </c>
      <c r="M6" s="282">
        <f t="shared" si="0"/>
        <v>41090</v>
      </c>
    </row>
    <row r="7" spans="1:14" ht="15.75" customHeight="1" x14ac:dyDescent="0.3">
      <c r="A7" s="9"/>
      <c r="B7" s="44" t="s">
        <v>45</v>
      </c>
      <c r="C7" s="36">
        <v>6106635</v>
      </c>
      <c r="D7" s="36">
        <v>5761248</v>
      </c>
      <c r="E7" s="36">
        <v>5119437</v>
      </c>
      <c r="F7" s="36"/>
      <c r="G7" s="36"/>
      <c r="H7" s="36"/>
      <c r="I7" s="36"/>
      <c r="J7" s="36"/>
      <c r="K7" s="36"/>
      <c r="L7" s="36"/>
      <c r="M7" s="243"/>
      <c r="N7" s="6"/>
    </row>
    <row r="8" spans="1:14" ht="15.75" customHeight="1" x14ac:dyDescent="0.3">
      <c r="A8" s="9"/>
      <c r="B8" s="45" t="s">
        <v>46</v>
      </c>
      <c r="C8" s="14">
        <f t="shared" ref="C8:L8" si="1">IF(D7="","",C7/D7-1)</f>
        <v>5.9950031659806946E-2</v>
      </c>
      <c r="D8" s="14">
        <f t="shared" si="1"/>
        <v>0.12536749646494338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2"/>
      <c r="N8" s="6"/>
    </row>
    <row r="9" spans="1:14" ht="15.75" customHeight="1" x14ac:dyDescent="0.3">
      <c r="A9" s="9"/>
      <c r="B9" s="45" t="s">
        <v>47</v>
      </c>
      <c r="C9" s="36">
        <v>4963246</v>
      </c>
      <c r="D9" s="36">
        <v>4476856</v>
      </c>
      <c r="E9" s="36">
        <v>3925837</v>
      </c>
      <c r="F9" s="36"/>
      <c r="G9" s="36"/>
      <c r="H9" s="36"/>
      <c r="I9" s="36"/>
      <c r="J9" s="36"/>
      <c r="K9" s="36"/>
      <c r="L9" s="36"/>
      <c r="M9" s="243"/>
      <c r="N9" s="6"/>
    </row>
    <row r="10" spans="1:14" ht="15.75" customHeight="1" x14ac:dyDescent="0.3">
      <c r="A10" s="9"/>
      <c r="B10" s="45" t="s">
        <v>48</v>
      </c>
      <c r="C10" s="14">
        <f t="shared" ref="C10:M10" si="2">IF(C7="","",(C7-C9)/C7)</f>
        <v>0.18723716089139109</v>
      </c>
      <c r="D10" s="14">
        <f t="shared" si="2"/>
        <v>0.2229364193313671</v>
      </c>
      <c r="E10" s="14">
        <f t="shared" si="2"/>
        <v>0.23315063746267412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2" t="str">
        <f t="shared" si="2"/>
        <v/>
      </c>
      <c r="N10" s="6"/>
    </row>
    <row r="11" spans="1:14" ht="15.75" customHeight="1" x14ac:dyDescent="0.3">
      <c r="A11" s="9"/>
      <c r="B11" s="45" t="s">
        <v>49</v>
      </c>
      <c r="C11" s="36">
        <v>897855</v>
      </c>
      <c r="D11" s="36">
        <v>909322</v>
      </c>
      <c r="E11" s="36">
        <v>861523</v>
      </c>
      <c r="F11" s="36"/>
      <c r="G11" s="36"/>
      <c r="H11" s="36"/>
      <c r="I11" s="36"/>
      <c r="J11" s="36"/>
      <c r="K11" s="36"/>
      <c r="L11" s="36"/>
      <c r="M11" s="243"/>
      <c r="N11" s="6"/>
    </row>
    <row r="12" spans="1:14" ht="15.75" customHeight="1" x14ac:dyDescent="0.3">
      <c r="A12" s="9"/>
      <c r="B12" s="45" t="s">
        <v>50</v>
      </c>
      <c r="C12" s="14">
        <f t="shared" ref="C12:M12" si="3">IF(C7="","",C10-C13)</f>
        <v>0.14702941963945773</v>
      </c>
      <c r="D12" s="14">
        <f t="shared" si="3"/>
        <v>0.15783420536661502</v>
      </c>
      <c r="E12" s="14">
        <f t="shared" si="3"/>
        <v>0.16828471568260339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2" t="str">
        <f t="shared" si="3"/>
        <v/>
      </c>
      <c r="N12" s="6"/>
    </row>
    <row r="13" spans="1:14" ht="15.75" customHeight="1" x14ac:dyDescent="0.3">
      <c r="A13" s="9"/>
      <c r="B13" s="45" t="s">
        <v>51</v>
      </c>
      <c r="C13" s="14">
        <f t="shared" ref="C13:M13" si="4">IF(C14="","",C14/C7)</f>
        <v>4.0207741251933347E-2</v>
      </c>
      <c r="D13" s="14">
        <f t="shared" si="4"/>
        <v>6.5102213964752076E-2</v>
      </c>
      <c r="E13" s="14">
        <f t="shared" si="4"/>
        <v>6.4865921780070737E-2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2" t="str">
        <f t="shared" si="4"/>
        <v/>
      </c>
      <c r="N13" s="6"/>
    </row>
    <row r="14" spans="1:14" ht="15.75" customHeight="1" x14ac:dyDescent="0.3">
      <c r="A14" s="9"/>
      <c r="B14" s="45" t="s">
        <v>52</v>
      </c>
      <c r="C14" s="28">
        <f t="shared" ref="C14:M14" si="5">IF(C7="","",C7-C9-C11)</f>
        <v>245534</v>
      </c>
      <c r="D14" s="28">
        <f t="shared" si="5"/>
        <v>375070</v>
      </c>
      <c r="E14" s="28">
        <f t="shared" si="5"/>
        <v>332077</v>
      </c>
      <c r="F14" s="28" t="str">
        <f t="shared" si="5"/>
        <v/>
      </c>
      <c r="G14" s="28" t="str">
        <f t="shared" si="5"/>
        <v/>
      </c>
      <c r="H14" s="28" t="str">
        <f t="shared" si="5"/>
        <v/>
      </c>
      <c r="I14" s="28" t="str">
        <f t="shared" si="5"/>
        <v/>
      </c>
      <c r="J14" s="28" t="str">
        <f t="shared" si="5"/>
        <v/>
      </c>
      <c r="K14" s="28" t="str">
        <f t="shared" si="5"/>
        <v/>
      </c>
      <c r="L14" s="28" t="str">
        <f t="shared" si="5"/>
        <v/>
      </c>
      <c r="M14" s="244" t="str">
        <f t="shared" si="5"/>
        <v/>
      </c>
      <c r="N14" s="6"/>
    </row>
    <row r="15" spans="1:14" ht="15.75" customHeight="1" x14ac:dyDescent="0.3">
      <c r="A15" s="9"/>
      <c r="B15" s="45" t="s">
        <v>53</v>
      </c>
      <c r="C15" s="14">
        <f>IF(D14="","",IF(ABS(C14+D14)=ABS(C14)+ABS(D14),IF(C14&lt;0,-1,1)*(C14-D14)/D14,"Turn"))</f>
        <v>-0.34536486522515797</v>
      </c>
      <c r="D15" s="14">
        <f t="shared" ref="D15:M15" si="6">IF(E14="","",IF(ABS(D14+E14)=ABS(D14)+ABS(E14),IF(D14&lt;0,-1,1)*(D14-E14)/E14,"Turn"))</f>
        <v>0.12946696097591823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2" t="str">
        <f t="shared" si="6"/>
        <v/>
      </c>
      <c r="N15" s="6"/>
    </row>
    <row r="16" spans="1:14" ht="15.75" customHeight="1" x14ac:dyDescent="0.3">
      <c r="A16" s="9"/>
      <c r="B16" s="45" t="s">
        <v>54</v>
      </c>
      <c r="C16" s="145">
        <f>IF(C14="","",C14*(1-Operation!$D$16))</f>
        <v>245534</v>
      </c>
      <c r="D16" s="145">
        <f>IF(D14="","",D14*(1-Operation!$D$16))</f>
        <v>375070</v>
      </c>
      <c r="E16" s="145">
        <f>IF(E14="","",E14*(1-Operation!$D$16))</f>
        <v>332077</v>
      </c>
      <c r="F16" s="145" t="str">
        <f>IF(F14="","",F14*(1-Operation!$D$16))</f>
        <v/>
      </c>
      <c r="G16" s="145" t="str">
        <f>IF(G14="","",G14*(1-Operation!$D$16))</f>
        <v/>
      </c>
      <c r="H16" s="145" t="str">
        <f>IF(H14="","",H14*(1-Operation!$D$16))</f>
        <v/>
      </c>
      <c r="I16" s="145" t="str">
        <f>IF(I14="","",I14*(1-Operation!$D$16))</f>
        <v/>
      </c>
      <c r="J16" s="145" t="str">
        <f>IF(J14="","",J14*(1-Operation!$D$16))</f>
        <v/>
      </c>
      <c r="K16" s="145" t="str">
        <f>IF(K14="","",K14*(1-Operation!$D$16))</f>
        <v/>
      </c>
      <c r="L16" s="145" t="str">
        <f>IF(L14="","",L14*(1-Operation!$D$16))</f>
        <v/>
      </c>
      <c r="M16" s="245" t="str">
        <f>IF(M14="","",M14*(1-Operation!$D$16))</f>
        <v/>
      </c>
      <c r="N16" s="6"/>
    </row>
    <row r="17" spans="1:14" ht="15.75" customHeight="1" x14ac:dyDescent="0.3">
      <c r="A17" s="9"/>
      <c r="B17" s="144" t="s">
        <v>55</v>
      </c>
      <c r="C17" s="131">
        <f t="shared" ref="C17:M17" si="7">IF(C7="","",C16/C7)</f>
        <v>4.0207741251933347E-2</v>
      </c>
      <c r="D17" s="131">
        <f t="shared" si="7"/>
        <v>6.5102213964752076E-2</v>
      </c>
      <c r="E17" s="131">
        <f t="shared" si="7"/>
        <v>6.4865921780070737E-2</v>
      </c>
      <c r="F17" s="131" t="str">
        <f t="shared" si="7"/>
        <v/>
      </c>
      <c r="G17" s="131" t="str">
        <f t="shared" si="7"/>
        <v/>
      </c>
      <c r="H17" s="131" t="str">
        <f t="shared" si="7"/>
        <v/>
      </c>
      <c r="I17" s="131" t="str">
        <f t="shared" si="7"/>
        <v/>
      </c>
      <c r="J17" s="131" t="str">
        <f t="shared" si="7"/>
        <v/>
      </c>
      <c r="K17" s="131" t="str">
        <f t="shared" si="7"/>
        <v/>
      </c>
      <c r="L17" s="131" t="str">
        <f t="shared" si="7"/>
        <v/>
      </c>
      <c r="M17" s="246" t="str">
        <f t="shared" si="7"/>
        <v/>
      </c>
      <c r="N17" s="6"/>
    </row>
    <row r="18" spans="1:14" ht="15.75" customHeight="1" x14ac:dyDescent="0.3">
      <c r="A18" s="9"/>
      <c r="B18" s="45" t="s">
        <v>266</v>
      </c>
      <c r="C18" s="146">
        <v>296</v>
      </c>
      <c r="D18" s="146">
        <v>283</v>
      </c>
      <c r="E18" s="146">
        <v>238</v>
      </c>
      <c r="F18" s="146"/>
      <c r="G18" s="146"/>
      <c r="H18" s="146"/>
      <c r="I18" s="146"/>
      <c r="J18" s="146"/>
      <c r="K18" s="146"/>
      <c r="L18" s="146"/>
      <c r="M18" s="247"/>
      <c r="N18" s="6"/>
    </row>
    <row r="19" spans="1:14" ht="15.75" customHeight="1" x14ac:dyDescent="0.3">
      <c r="A19" s="9"/>
      <c r="B19" s="45" t="s">
        <v>56</v>
      </c>
      <c r="C19" s="36">
        <v>257260</v>
      </c>
      <c r="D19" s="36">
        <v>357698</v>
      </c>
      <c r="E19" s="36">
        <v>316889</v>
      </c>
      <c r="F19" s="36"/>
      <c r="G19" s="36"/>
      <c r="H19" s="36"/>
      <c r="I19" s="36"/>
      <c r="J19" s="36"/>
      <c r="K19" s="36"/>
      <c r="L19" s="36"/>
      <c r="M19" s="243"/>
      <c r="N19" s="6"/>
    </row>
    <row r="20" spans="1:14" ht="15.75" customHeight="1" x14ac:dyDescent="0.3">
      <c r="A20" s="9"/>
      <c r="B20" s="45" t="s">
        <v>282</v>
      </c>
      <c r="C20" s="14">
        <f>IF(D19="","",IF(ABS(C19+D19)=ABS(C19)+ABS(D19),IF(C19&lt;0,-1,1)*(C19-D19)/D19,"Turn"))</f>
        <v>-0.28078994011708203</v>
      </c>
      <c r="D20" s="14">
        <f t="shared" ref="D20:M20" si="8">IF(E19="","",IF(ABS(D19+E19)=ABS(D19)+ABS(E19),IF(D19&lt;0,-1,1)*(D19-E19)/E19,"Turn"))</f>
        <v>0.12878010912338389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2" t="str">
        <f t="shared" si="8"/>
        <v/>
      </c>
      <c r="N20" s="6"/>
    </row>
    <row r="21" spans="1:14" ht="15.75" customHeight="1" x14ac:dyDescent="0.3">
      <c r="A21" s="9"/>
      <c r="B21" s="45" t="s">
        <v>57</v>
      </c>
      <c r="C21" s="178">
        <v>2825784</v>
      </c>
      <c r="D21" s="36">
        <v>2758360</v>
      </c>
      <c r="E21" s="36">
        <v>2522897</v>
      </c>
      <c r="F21" s="36"/>
      <c r="G21" s="36"/>
      <c r="H21" s="36"/>
      <c r="I21" s="36"/>
      <c r="J21" s="36"/>
      <c r="K21" s="36"/>
      <c r="L21" s="36"/>
      <c r="M21" s="243"/>
      <c r="N21" s="6"/>
    </row>
    <row r="22" spans="1:14" ht="15.75" customHeight="1" x14ac:dyDescent="0.3">
      <c r="A22" s="9"/>
      <c r="B22" s="45" t="s">
        <v>58</v>
      </c>
      <c r="C22" s="178">
        <v>827785</v>
      </c>
      <c r="D22" s="36">
        <v>777784</v>
      </c>
      <c r="E22" s="36">
        <v>717075</v>
      </c>
      <c r="F22" s="36"/>
      <c r="G22" s="36"/>
      <c r="H22" s="36"/>
      <c r="I22" s="36"/>
      <c r="J22" s="36"/>
      <c r="K22" s="36"/>
      <c r="L22" s="36"/>
      <c r="M22" s="243"/>
      <c r="N22" s="6"/>
    </row>
    <row r="23" spans="1:14" ht="15.5" customHeight="1" x14ac:dyDescent="0.3">
      <c r="A23" s="9"/>
      <c r="B23" s="45" t="s">
        <v>59</v>
      </c>
      <c r="C23" s="178">
        <v>3177</v>
      </c>
      <c r="D23" s="36">
        <v>3365</v>
      </c>
      <c r="E23" s="36">
        <v>2767</v>
      </c>
      <c r="F23" s="36"/>
      <c r="G23" s="36"/>
      <c r="H23" s="36"/>
      <c r="I23" s="36"/>
      <c r="J23" s="36"/>
      <c r="K23" s="36"/>
      <c r="L23" s="36"/>
      <c r="M23" s="243"/>
      <c r="N23" s="6"/>
    </row>
    <row r="24" spans="1:14" ht="15.75" customHeight="1" x14ac:dyDescent="0.3">
      <c r="A24" s="9"/>
      <c r="B24" s="143" t="s">
        <v>60</v>
      </c>
      <c r="C24" s="275">
        <v>3177</v>
      </c>
      <c r="D24" s="142">
        <v>3365</v>
      </c>
      <c r="E24" s="142">
        <v>2767</v>
      </c>
      <c r="F24" s="142"/>
      <c r="G24" s="142"/>
      <c r="H24" s="142"/>
      <c r="I24" s="142"/>
      <c r="J24" s="142"/>
      <c r="K24" s="142"/>
      <c r="L24" s="142"/>
      <c r="M24" s="248"/>
      <c r="N24" s="6"/>
    </row>
    <row r="25" spans="1:14" ht="15.75" customHeight="1" x14ac:dyDescent="0.3">
      <c r="A25" s="9"/>
      <c r="B25" s="45" t="s">
        <v>61</v>
      </c>
      <c r="C25" s="178">
        <v>1239</v>
      </c>
      <c r="D25" s="36">
        <v>1847</v>
      </c>
      <c r="E25" s="36">
        <v>1584</v>
      </c>
      <c r="F25" s="36"/>
      <c r="G25" s="36"/>
      <c r="H25" s="36"/>
      <c r="I25" s="36"/>
      <c r="J25" s="36"/>
      <c r="K25" s="36"/>
      <c r="L25" s="36"/>
      <c r="M25" s="243"/>
      <c r="N25" s="6"/>
    </row>
    <row r="26" spans="1:14" ht="15.75" customHeight="1" x14ac:dyDescent="0.3">
      <c r="A26" s="9"/>
      <c r="B26" s="143" t="s">
        <v>62</v>
      </c>
      <c r="C26" s="177">
        <v>1239</v>
      </c>
      <c r="D26" s="142">
        <v>1847</v>
      </c>
      <c r="E26" s="142">
        <v>1584</v>
      </c>
      <c r="F26" s="142"/>
      <c r="G26" s="142"/>
      <c r="H26" s="142"/>
      <c r="I26" s="142"/>
      <c r="J26" s="142"/>
      <c r="K26" s="142"/>
      <c r="L26" s="142"/>
      <c r="M26" s="248"/>
      <c r="N26" s="6"/>
    </row>
    <row r="27" spans="1:14" ht="15.75" customHeight="1" x14ac:dyDescent="0.3">
      <c r="A27" s="9"/>
      <c r="B27" s="45" t="s">
        <v>63</v>
      </c>
      <c r="C27" s="28">
        <f t="shared" ref="C27:M27" si="9">IF(C7="","",C23+C25)</f>
        <v>4416</v>
      </c>
      <c r="D27" s="28">
        <f t="shared" si="9"/>
        <v>5212</v>
      </c>
      <c r="E27" s="28">
        <f t="shared" si="9"/>
        <v>4351</v>
      </c>
      <c r="F27" s="28" t="str">
        <f t="shared" si="9"/>
        <v/>
      </c>
      <c r="G27" s="28" t="str">
        <f t="shared" si="9"/>
        <v/>
      </c>
      <c r="H27" s="28" t="str">
        <f t="shared" si="9"/>
        <v/>
      </c>
      <c r="I27" s="28" t="str">
        <f t="shared" si="9"/>
        <v/>
      </c>
      <c r="J27" s="28" t="str">
        <f t="shared" si="9"/>
        <v/>
      </c>
      <c r="K27" s="28" t="str">
        <f t="shared" si="9"/>
        <v/>
      </c>
      <c r="L27" s="28" t="str">
        <f t="shared" si="9"/>
        <v/>
      </c>
      <c r="M27" s="244" t="str">
        <f t="shared" si="9"/>
        <v/>
      </c>
      <c r="N27" s="6"/>
    </row>
    <row r="28" spans="1:14" ht="15.75" customHeight="1" x14ac:dyDescent="0.3">
      <c r="A28" s="9"/>
      <c r="B28" s="45" t="s">
        <v>64</v>
      </c>
      <c r="C28" s="178">
        <v>2959124</v>
      </c>
      <c r="D28" s="36">
        <v>2880665</v>
      </c>
      <c r="E28" s="36">
        <v>2476897</v>
      </c>
      <c r="F28" s="36"/>
      <c r="G28" s="36"/>
      <c r="H28" s="36"/>
      <c r="I28" s="36"/>
      <c r="J28" s="36"/>
      <c r="K28" s="36"/>
      <c r="L28" s="36"/>
      <c r="M28" s="243"/>
      <c r="N28" s="6"/>
    </row>
    <row r="29" spans="1:14" ht="15.75" customHeight="1" x14ac:dyDescent="0.3">
      <c r="A29" s="9"/>
      <c r="B29" s="143" t="s">
        <v>217</v>
      </c>
      <c r="C29" s="177">
        <v>2959124</v>
      </c>
      <c r="D29" s="142">
        <v>2880665</v>
      </c>
      <c r="E29" s="142">
        <v>2476897</v>
      </c>
      <c r="F29" s="142"/>
      <c r="G29" s="142"/>
      <c r="H29" s="142"/>
      <c r="I29" s="142"/>
      <c r="J29" s="142"/>
      <c r="K29" s="142"/>
      <c r="L29" s="142"/>
      <c r="M29" s="248"/>
      <c r="N29" s="6"/>
    </row>
    <row r="30" spans="1:14" ht="15.75" customHeight="1" x14ac:dyDescent="0.3">
      <c r="A30" s="9"/>
      <c r="B30" s="45" t="s">
        <v>65</v>
      </c>
      <c r="C30" s="178">
        <v>846003</v>
      </c>
      <c r="D30" s="36">
        <v>824301</v>
      </c>
      <c r="E30" s="36">
        <v>668030</v>
      </c>
      <c r="F30" s="36"/>
      <c r="G30" s="36"/>
      <c r="H30" s="36"/>
      <c r="I30" s="36"/>
      <c r="J30" s="36"/>
      <c r="K30" s="36"/>
      <c r="L30" s="36"/>
      <c r="M30" s="243"/>
      <c r="N30" s="6"/>
    </row>
    <row r="31" spans="1:14" ht="15.75" customHeight="1" x14ac:dyDescent="0.3">
      <c r="A31" s="9"/>
      <c r="B31" s="45" t="s">
        <v>242</v>
      </c>
      <c r="C31" s="178">
        <v>1009960</v>
      </c>
      <c r="D31" s="36">
        <v>1277330</v>
      </c>
      <c r="E31" s="36">
        <v>1337336</v>
      </c>
      <c r="F31" s="36"/>
      <c r="G31" s="36"/>
      <c r="H31" s="36"/>
      <c r="I31" s="36"/>
      <c r="J31" s="36"/>
      <c r="K31" s="36"/>
      <c r="L31" s="36"/>
      <c r="M31" s="243"/>
      <c r="N31" s="6"/>
    </row>
    <row r="32" spans="1:14" ht="15.75" customHeight="1" x14ac:dyDescent="0.3">
      <c r="A32" s="9"/>
      <c r="B32" s="45" t="s">
        <v>66</v>
      </c>
      <c r="C32" s="14">
        <f t="shared" ref="C32:M32" si="10">IF(D7="","",(C30-D30)/C30)</f>
        <v>2.5652391303576938E-2</v>
      </c>
      <c r="D32" s="14">
        <f t="shared" si="10"/>
        <v>0.18958001991990789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2" t="str">
        <f t="shared" si="10"/>
        <v/>
      </c>
      <c r="N32" s="6"/>
    </row>
    <row r="33" spans="1:14" ht="15.75" customHeight="1" x14ac:dyDescent="0.3">
      <c r="A33" s="9"/>
      <c r="B33" s="45" t="s">
        <v>67</v>
      </c>
      <c r="C33" s="250">
        <f>IF(D7="","",(C7-D7)*Asset_Model!$D$65)</f>
        <v>29618.634786261173</v>
      </c>
      <c r="D33" s="250">
        <f>IF(E7="","",(D7-E7)*Asset_Model!$D$65)</f>
        <v>55038.45139164204</v>
      </c>
      <c r="E33" s="250" t="str">
        <f>IF(F7="","",(E7-F7)*Asset_Model!$D$65)</f>
        <v/>
      </c>
      <c r="F33" s="250" t="str">
        <f>IF(G7="","",(F7-G7)*Asset_Model!$D$65)</f>
        <v/>
      </c>
      <c r="G33" s="250" t="str">
        <f>IF(H7="","",(G7-H7)*Asset_Model!$D$65)</f>
        <v/>
      </c>
      <c r="H33" s="250" t="str">
        <f>IF(I7="","",(H7-I7)*Asset_Model!$D$65)</f>
        <v/>
      </c>
      <c r="I33" s="250" t="str">
        <f>IF(J7="","",(I7-J7)*Asset_Model!$D$65)</f>
        <v/>
      </c>
      <c r="J33" s="250" t="str">
        <f>IF(K7="","",(J7-K7)*Asset_Model!$D$65)</f>
        <v/>
      </c>
      <c r="K33" s="250" t="str">
        <f>IF(L7="","",(K7-L7)*Asset_Model!$D$65)</f>
        <v/>
      </c>
      <c r="L33" s="250" t="str">
        <f>IF(M7="","",(L7-M7)*Asset_Model!$D$65)</f>
        <v/>
      </c>
      <c r="M33" s="251" t="str">
        <f>IF(N7="","",(M7-N7)*Asset_Model!$D$65)</f>
        <v/>
      </c>
      <c r="N33" s="6"/>
    </row>
    <row r="34" spans="1:14" ht="15.75" customHeight="1" x14ac:dyDescent="0.3">
      <c r="A34" s="9"/>
      <c r="B34" s="45" t="s">
        <v>79</v>
      </c>
      <c r="C34" s="145">
        <f>IF(D7="","",C30-D30+C33+IF($C$49="Yes",C51,0))</f>
        <v>51320.634786261173</v>
      </c>
      <c r="D34" s="145">
        <f>IF(E7="","",D30-E30+D33+IF($C$49="Yes",D51,0))</f>
        <v>211309.45139164204</v>
      </c>
      <c r="E34" s="145" t="str">
        <f t="shared" ref="E34:F34" si="11">IF(F7="","",E30-F30+E33+IF($C$49="Yes",E51,0))</f>
        <v/>
      </c>
      <c r="F34" s="145" t="str">
        <f t="shared" si="11"/>
        <v/>
      </c>
      <c r="G34" s="145" t="str">
        <f t="shared" ref="G34" si="12">IF(H7="","",G30-H30+G33+IF($C$49="Yes",G51,0))</f>
        <v/>
      </c>
      <c r="H34" s="145" t="str">
        <f t="shared" ref="H34" si="13">IF(I7="","",H30-I30+H33+IF($C$49="Yes",H51,0))</f>
        <v/>
      </c>
      <c r="I34" s="145" t="str">
        <f t="shared" ref="I34" si="14">IF(J7="","",I30-J30+I33+IF($C$49="Yes",I51,0))</f>
        <v/>
      </c>
      <c r="J34" s="145" t="str">
        <f t="shared" ref="J34" si="15">IF(K7="","",J30-K30+J33+IF($C$49="Yes",J51,0))</f>
        <v/>
      </c>
      <c r="K34" s="145" t="str">
        <f t="shared" ref="K34" si="16">IF(L7="","",K30-L30+K33+IF($C$49="Yes",K51,0))</f>
        <v/>
      </c>
      <c r="L34" s="145" t="str">
        <f t="shared" ref="L34" si="17">IF(M7="","",L30-M30+L33+IF($C$49="Yes",L51,0))</f>
        <v/>
      </c>
      <c r="M34" s="349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9" t="s">
        <v>68</v>
      </c>
      <c r="C35" s="241">
        <f t="shared" ref="C35:M35" si="19">IF(C34="","",C34/C16)</f>
        <v>0.20901640826224138</v>
      </c>
      <c r="D35" s="241">
        <f t="shared" si="19"/>
        <v>0.56338670485947162</v>
      </c>
      <c r="E35" s="241" t="str">
        <f t="shared" si="19"/>
        <v/>
      </c>
      <c r="F35" s="241" t="str">
        <f t="shared" si="19"/>
        <v/>
      </c>
      <c r="G35" s="241" t="str">
        <f t="shared" si="19"/>
        <v/>
      </c>
      <c r="H35" s="241" t="str">
        <f t="shared" si="19"/>
        <v/>
      </c>
      <c r="I35" s="241" t="str">
        <f t="shared" si="19"/>
        <v/>
      </c>
      <c r="J35" s="241" t="str">
        <f t="shared" si="19"/>
        <v/>
      </c>
      <c r="K35" s="241" t="str">
        <f t="shared" si="19"/>
        <v/>
      </c>
      <c r="L35" s="241" t="str">
        <f t="shared" si="19"/>
        <v/>
      </c>
      <c r="M35" s="242" t="str">
        <f t="shared" si="19"/>
        <v/>
      </c>
      <c r="N35" s="6"/>
    </row>
    <row r="36" spans="1:14" ht="15.75" customHeight="1" x14ac:dyDescent="0.3">
      <c r="A36" s="9"/>
      <c r="B36" s="48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70" t="s">
        <v>267</v>
      </c>
      <c r="C37" s="167">
        <v>113211</v>
      </c>
      <c r="D37" s="167">
        <v>108954</v>
      </c>
      <c r="E37" s="167">
        <v>104297</v>
      </c>
      <c r="F37" s="167"/>
      <c r="G37" s="167"/>
      <c r="H37" s="167"/>
      <c r="I37" s="167"/>
      <c r="J37" s="167"/>
      <c r="K37" s="167"/>
      <c r="L37" s="167"/>
      <c r="M37" s="168"/>
      <c r="N37" s="6"/>
    </row>
    <row r="38" spans="1:14" ht="15.75" customHeight="1" x14ac:dyDescent="0.3">
      <c r="A38" s="9"/>
      <c r="B38" s="144" t="s">
        <v>70</v>
      </c>
      <c r="C38" s="166">
        <v>0</v>
      </c>
      <c r="D38" s="166">
        <v>0</v>
      </c>
      <c r="E38" s="166">
        <v>9302</v>
      </c>
      <c r="F38" s="166"/>
      <c r="G38" s="166"/>
      <c r="H38" s="166"/>
      <c r="I38" s="166"/>
      <c r="J38" s="166"/>
      <c r="K38" s="166"/>
      <c r="L38" s="166"/>
      <c r="M38" s="169"/>
      <c r="N38" s="6"/>
    </row>
    <row r="39" spans="1:14" ht="15.75" customHeight="1" x14ac:dyDescent="0.3">
      <c r="A39" s="9"/>
      <c r="B39" s="144" t="s">
        <v>213</v>
      </c>
      <c r="C39" s="172">
        <f t="shared" ref="C39:M39" si="20">IF(C37="","",C37*$C$4/Common_Shares)</f>
        <v>0.46521117384550903</v>
      </c>
      <c r="D39" s="172">
        <f t="shared" si="20"/>
        <v>0.44771813900737195</v>
      </c>
      <c r="E39" s="172">
        <f t="shared" si="20"/>
        <v>0.42858140815437595</v>
      </c>
      <c r="F39" s="172" t="str">
        <f t="shared" si="20"/>
        <v/>
      </c>
      <c r="G39" s="172" t="str">
        <f t="shared" si="20"/>
        <v/>
      </c>
      <c r="H39" s="172" t="str">
        <f t="shared" si="20"/>
        <v/>
      </c>
      <c r="I39" s="172" t="str">
        <f t="shared" si="20"/>
        <v/>
      </c>
      <c r="J39" s="172" t="str">
        <f t="shared" si="20"/>
        <v/>
      </c>
      <c r="K39" s="172" t="str">
        <f t="shared" si="20"/>
        <v/>
      </c>
      <c r="L39" s="172" t="str">
        <f t="shared" si="20"/>
        <v/>
      </c>
      <c r="M39" s="173" t="str">
        <f t="shared" si="20"/>
        <v/>
      </c>
      <c r="N39" s="6"/>
    </row>
    <row r="40" spans="1:14" ht="15.75" customHeight="1" x14ac:dyDescent="0.3">
      <c r="A40" s="9"/>
      <c r="B40" s="171" t="s">
        <v>214</v>
      </c>
      <c r="C40" s="174">
        <f t="shared" ref="C40:M40" si="21">IF(C38="","",C38*$C$4/Common_Shares)</f>
        <v>0</v>
      </c>
      <c r="D40" s="174">
        <f t="shared" si="21"/>
        <v>0</v>
      </c>
      <c r="E40" s="174">
        <f t="shared" si="21"/>
        <v>3.8224150825546324E-2</v>
      </c>
      <c r="F40" s="174" t="str">
        <f t="shared" si="21"/>
        <v/>
      </c>
      <c r="G40" s="174" t="str">
        <f t="shared" si="21"/>
        <v/>
      </c>
      <c r="H40" s="174" t="str">
        <f t="shared" si="21"/>
        <v/>
      </c>
      <c r="I40" s="174" t="str">
        <f t="shared" si="21"/>
        <v/>
      </c>
      <c r="J40" s="174" t="str">
        <f t="shared" si="21"/>
        <v/>
      </c>
      <c r="K40" s="174" t="str">
        <f t="shared" si="21"/>
        <v/>
      </c>
      <c r="L40" s="174" t="str">
        <f t="shared" si="21"/>
        <v/>
      </c>
      <c r="M40" s="175" t="str">
        <f t="shared" si="21"/>
        <v/>
      </c>
      <c r="N40" s="6"/>
    </row>
    <row r="41" spans="1:14" ht="15.75" customHeight="1" x14ac:dyDescent="0.3">
      <c r="A41" s="9"/>
      <c r="B41" s="90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4" t="s">
        <v>72</v>
      </c>
      <c r="C42" s="49">
        <f>IF(C29="","",C25/C28)</f>
        <v>4.187049951269362E-4</v>
      </c>
      <c r="D42" s="49">
        <f t="shared" ref="D42:M42" si="22">IF(D29="","",D25/D29)</f>
        <v>6.4117139618803296E-4</v>
      </c>
      <c r="E42" s="49">
        <f t="shared" si="22"/>
        <v>6.3950983831786306E-4</v>
      </c>
      <c r="F42" s="49" t="str">
        <f t="shared" si="22"/>
        <v/>
      </c>
      <c r="G42" s="49" t="str">
        <f t="shared" si="22"/>
        <v/>
      </c>
      <c r="H42" s="49" t="str">
        <f t="shared" si="22"/>
        <v/>
      </c>
      <c r="I42" s="49" t="str">
        <f t="shared" si="22"/>
        <v/>
      </c>
      <c r="J42" s="49" t="str">
        <f t="shared" si="22"/>
        <v/>
      </c>
      <c r="K42" s="49" t="str">
        <f t="shared" si="22"/>
        <v/>
      </c>
      <c r="L42" s="49" t="str">
        <f t="shared" si="22"/>
        <v/>
      </c>
      <c r="M42" s="211" t="str">
        <f t="shared" si="22"/>
        <v/>
      </c>
      <c r="N42" s="6"/>
    </row>
    <row r="43" spans="1:14" ht="15.75" customHeight="1" x14ac:dyDescent="0.3">
      <c r="A43" s="9"/>
      <c r="B43" s="45" t="s">
        <v>262</v>
      </c>
      <c r="C43" s="14">
        <f t="shared" ref="C43:M43" si="23">IF(C29="","",C27/C29)</f>
        <v>1.4923335419536321E-3</v>
      </c>
      <c r="D43" s="14">
        <f t="shared" si="23"/>
        <v>1.8093044487991487E-3</v>
      </c>
      <c r="E43" s="14">
        <f t="shared" si="23"/>
        <v>1.7566334005814533E-3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2" t="str">
        <f t="shared" si="23"/>
        <v/>
      </c>
      <c r="N43" s="6"/>
    </row>
    <row r="44" spans="1:14" ht="15.75" customHeight="1" x14ac:dyDescent="0.3">
      <c r="A44" s="9"/>
      <c r="B44" s="45" t="s">
        <v>73</v>
      </c>
      <c r="C44" s="51">
        <f t="shared" ref="C44:M44" si="24">IF(C14="","",IF(C27&lt;=0,"-",C14/C27))</f>
        <v>55.600996376811594</v>
      </c>
      <c r="D44" s="51">
        <f t="shared" si="24"/>
        <v>71.962778204144286</v>
      </c>
      <c r="E44" s="51">
        <f t="shared" si="24"/>
        <v>76.321994943691109</v>
      </c>
      <c r="F44" s="51" t="str">
        <f t="shared" si="24"/>
        <v/>
      </c>
      <c r="G44" s="51" t="str">
        <f t="shared" si="24"/>
        <v/>
      </c>
      <c r="H44" s="51" t="str">
        <f t="shared" si="24"/>
        <v/>
      </c>
      <c r="I44" s="51" t="str">
        <f t="shared" si="24"/>
        <v/>
      </c>
      <c r="J44" s="51" t="str">
        <f t="shared" si="24"/>
        <v/>
      </c>
      <c r="K44" s="51" t="str">
        <f t="shared" si="24"/>
        <v/>
      </c>
      <c r="L44" s="51" t="str">
        <f t="shared" si="24"/>
        <v/>
      </c>
      <c r="M44" s="213" t="str">
        <f t="shared" si="24"/>
        <v/>
      </c>
      <c r="N44" s="6"/>
    </row>
    <row r="45" spans="1:14" ht="15.75" customHeight="1" x14ac:dyDescent="0.3">
      <c r="A45" s="9"/>
      <c r="B45" s="45" t="s">
        <v>74</v>
      </c>
      <c r="C45" s="14">
        <f t="shared" ref="C45:M45" si="25">IF(C16="","",IF(C18&lt;=0,"-",C18/C16))</f>
        <v>1.205535689558269E-3</v>
      </c>
      <c r="D45" s="14">
        <f t="shared" si="25"/>
        <v>7.5452582184658864E-4</v>
      </c>
      <c r="E45" s="14">
        <f t="shared" si="25"/>
        <v>7.1670124699994278E-4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2" t="str">
        <f t="shared" si="25"/>
        <v/>
      </c>
      <c r="N45" s="6"/>
    </row>
    <row r="46" spans="1:14" ht="15.75" customHeight="1" x14ac:dyDescent="0.3">
      <c r="A46" s="9"/>
      <c r="B46" s="47" t="s">
        <v>75</v>
      </c>
      <c r="C46" s="52">
        <f t="shared" ref="C46:M46" si="26">IF(C21="","",C21/C22)</f>
        <v>3.4136690082569747</v>
      </c>
      <c r="D46" s="52">
        <f t="shared" si="26"/>
        <v>3.5464344856669716</v>
      </c>
      <c r="E46" s="52">
        <f t="shared" si="26"/>
        <v>3.5183167730014295</v>
      </c>
      <c r="F46" s="52" t="str">
        <f t="shared" si="26"/>
        <v/>
      </c>
      <c r="G46" s="52" t="str">
        <f t="shared" si="26"/>
        <v/>
      </c>
      <c r="H46" s="52" t="str">
        <f t="shared" si="26"/>
        <v/>
      </c>
      <c r="I46" s="52" t="str">
        <f t="shared" si="26"/>
        <v/>
      </c>
      <c r="J46" s="52" t="str">
        <f t="shared" si="26"/>
        <v/>
      </c>
      <c r="K46" s="52" t="str">
        <f t="shared" si="26"/>
        <v/>
      </c>
      <c r="L46" s="52" t="str">
        <f t="shared" si="26"/>
        <v/>
      </c>
      <c r="M46" s="214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3"/>
      <c r="D48" s="53"/>
      <c r="E48" s="53"/>
      <c r="F48" s="53"/>
    </row>
    <row r="49" spans="1:13" ht="15" customHeight="1" x14ac:dyDescent="0.3">
      <c r="A49" s="9"/>
      <c r="B49" s="5" t="s">
        <v>77</v>
      </c>
      <c r="C49" s="34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3"/>
      <c r="D50" s="6"/>
      <c r="E50" s="343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4" t="s">
        <v>322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8"/>
    </row>
    <row r="52" spans="1:13" ht="15.75" customHeight="1" x14ac:dyDescent="0.3">
      <c r="A52" s="9"/>
      <c r="B52" s="345" t="s">
        <v>323</v>
      </c>
      <c r="C52" s="346" t="str">
        <f>IF(C51="","",C51/C7)</f>
        <v/>
      </c>
      <c r="D52" s="346" t="str">
        <f t="shared" ref="D52:M52" si="27">IF(D51="","",D51/D7)</f>
        <v/>
      </c>
      <c r="E52" s="346" t="str">
        <f t="shared" si="27"/>
        <v/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3">
      <c r="A53" s="9"/>
      <c r="B53" s="54"/>
      <c r="C53" s="57"/>
      <c r="D53" s="57"/>
    </row>
    <row r="54" spans="1:13" ht="15.75" customHeight="1" x14ac:dyDescent="0.3">
      <c r="A54" s="9"/>
      <c r="B54" s="54"/>
      <c r="C54" s="57"/>
      <c r="D54" s="57"/>
    </row>
    <row r="55" spans="1:13" ht="15.75" customHeight="1" x14ac:dyDescent="0.3">
      <c r="A55" s="9"/>
      <c r="B55" s="54"/>
      <c r="C55" s="57"/>
      <c r="D55" s="57"/>
    </row>
    <row r="56" spans="1:13" ht="15.75" customHeight="1" x14ac:dyDescent="0.3">
      <c r="A56" s="9"/>
      <c r="B56" s="54"/>
      <c r="C56" s="58"/>
      <c r="D56" s="58"/>
    </row>
    <row r="57" spans="1:13" ht="15.75" customHeight="1" x14ac:dyDescent="0.3">
      <c r="A57" s="9"/>
      <c r="B57" s="54"/>
      <c r="C57" s="57"/>
      <c r="D57" s="57"/>
    </row>
    <row r="58" spans="1:13" ht="15.75" customHeight="1" x14ac:dyDescent="0.3">
      <c r="A58" s="9"/>
      <c r="B58" s="54"/>
      <c r="C58" s="58"/>
      <c r="D58" s="58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37" workbookViewId="0">
      <selection activeCell="D64" sqref="D64:E6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9" t="s">
        <v>81</v>
      </c>
      <c r="C2" s="269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268</v>
      </c>
      <c r="C3" s="6"/>
      <c r="D3" s="276">
        <v>2835244</v>
      </c>
      <c r="E3" s="158" t="str">
        <f>IF((C46-I46)=D3,"", "Error!")</f>
        <v/>
      </c>
      <c r="F3" s="6"/>
      <c r="G3" s="6"/>
      <c r="H3" s="277" t="s">
        <v>269</v>
      </c>
      <c r="I3" s="278">
        <v>2835244</v>
      </c>
    </row>
    <row r="4" spans="1:10" ht="15" customHeight="1" x14ac:dyDescent="0.3">
      <c r="B4" s="5" t="s">
        <v>233</v>
      </c>
      <c r="C4" s="6"/>
      <c r="D4" s="279">
        <f>D3-I3</f>
        <v>0</v>
      </c>
      <c r="E4" s="152"/>
      <c r="F4" s="6"/>
      <c r="G4" s="6"/>
      <c r="H4" s="61" t="s">
        <v>82</v>
      </c>
      <c r="I4" s="92">
        <f>(I3*Dashboard!I12*Data!C4)/Dashboard!I5</f>
        <v>11.650698159882312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9" t="s">
        <v>84</v>
      </c>
      <c r="C6" s="6"/>
      <c r="D6" s="60">
        <f>E46-I46-E50</f>
        <v>1736668.5</v>
      </c>
      <c r="E6" s="14">
        <f>1-D6/D3</f>
        <v>0.38747123704344322</v>
      </c>
      <c r="F6" s="6"/>
      <c r="G6" s="6"/>
      <c r="H6" s="61" t="s">
        <v>85</v>
      </c>
      <c r="I6" s="27">
        <f>IF(Data!F3&lt;=0,"NNI",D7/((Data!F3*Dashboard!I12)/(Dashboard!I5/Data!C4)))</f>
        <v>6.7506355438078209</v>
      </c>
      <c r="J6" s="6"/>
    </row>
    <row r="7" spans="1:10" ht="15" customHeight="1" x14ac:dyDescent="0.3">
      <c r="B7" s="54" t="s">
        <v>86</v>
      </c>
      <c r="D7" s="62">
        <f>MAX((D6*Dashboard!I12*Data!C4)/Dashboard!I5, 0)</f>
        <v>7.1363877314529454</v>
      </c>
      <c r="E7" s="63"/>
      <c r="H7" s="61" t="s">
        <v>87</v>
      </c>
      <c r="I7" s="27">
        <f>D7/(Data!C28*Dashboard!I12*Data!C4/Common_Shares)</f>
        <v>0.58688601761872772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270" t="s">
        <v>264</v>
      </c>
      <c r="C9" s="257"/>
      <c r="D9" s="274">
        <v>44926</v>
      </c>
      <c r="E9" s="271" t="str">
        <f>IF(D9=Data!C3,"FY","Quarter")</f>
        <v>Quarter</v>
      </c>
      <c r="F9" s="135"/>
      <c r="G9" s="135"/>
      <c r="H9" s="135"/>
      <c r="I9" s="135"/>
    </row>
    <row r="10" spans="1:10" ht="15" customHeight="1" x14ac:dyDescent="0.3">
      <c r="B10" s="5" t="s">
        <v>88</v>
      </c>
      <c r="C10" s="23" t="s">
        <v>89</v>
      </c>
      <c r="D10" s="23" t="s">
        <v>90</v>
      </c>
      <c r="E10" s="23" t="s">
        <v>91</v>
      </c>
      <c r="F10" s="31" t="s">
        <v>249</v>
      </c>
      <c r="G10" s="6"/>
      <c r="H10" s="64" t="s">
        <v>92</v>
      </c>
      <c r="I10" s="23" t="s">
        <v>89</v>
      </c>
    </row>
    <row r="11" spans="1:10" ht="15" customHeight="1" x14ac:dyDescent="0.3">
      <c r="B11" s="5" t="s">
        <v>93</v>
      </c>
      <c r="C11" s="65">
        <v>1386983</v>
      </c>
      <c r="D11" s="66">
        <v>1</v>
      </c>
      <c r="E11" s="28">
        <f t="shared" ref="E11:E21" si="0">C11*D11</f>
        <v>1386983</v>
      </c>
      <c r="F11" s="6"/>
      <c r="G11" s="6"/>
      <c r="H11" s="5" t="s">
        <v>94</v>
      </c>
      <c r="I11" s="65">
        <v>0</v>
      </c>
      <c r="J11" s="6"/>
    </row>
    <row r="12" spans="1:10" ht="14" x14ac:dyDescent="0.3">
      <c r="B12" s="3" t="s">
        <v>95</v>
      </c>
      <c r="C12" s="65">
        <v>0</v>
      </c>
      <c r="D12" s="66">
        <v>0.98</v>
      </c>
      <c r="E12" s="28">
        <f t="shared" si="0"/>
        <v>0</v>
      </c>
      <c r="F12" s="6"/>
      <c r="G12" s="6"/>
      <c r="H12" s="5" t="s">
        <v>96</v>
      </c>
      <c r="I12" s="65">
        <v>3842</v>
      </c>
      <c r="J12" s="6"/>
    </row>
    <row r="13" spans="1:10" ht="14" x14ac:dyDescent="0.3">
      <c r="B13" s="5" t="s">
        <v>97</v>
      </c>
      <c r="C13" s="65">
        <v>0</v>
      </c>
      <c r="D13" s="66">
        <v>1</v>
      </c>
      <c r="E13" s="28">
        <f t="shared" si="0"/>
        <v>0</v>
      </c>
      <c r="F13" s="6"/>
      <c r="G13" s="6"/>
      <c r="H13" s="5" t="s">
        <v>98</v>
      </c>
      <c r="I13" s="65">
        <v>0</v>
      </c>
      <c r="J13" s="6"/>
    </row>
    <row r="14" spans="1:10" ht="14" x14ac:dyDescent="0.3">
      <c r="B14" s="5" t="s">
        <v>99</v>
      </c>
      <c r="C14" s="65">
        <v>0</v>
      </c>
      <c r="D14" s="66">
        <v>0.6</v>
      </c>
      <c r="E14" s="28">
        <f t="shared" si="0"/>
        <v>0</v>
      </c>
      <c r="F14" s="6"/>
      <c r="G14" s="6"/>
      <c r="H14" s="3" t="s">
        <v>100</v>
      </c>
      <c r="I14" s="65">
        <v>0</v>
      </c>
      <c r="J14" s="6"/>
    </row>
    <row r="15" spans="1:10" ht="14" x14ac:dyDescent="0.3">
      <c r="B15" s="5" t="s">
        <v>101</v>
      </c>
      <c r="C15" s="65">
        <v>0</v>
      </c>
      <c r="D15" s="66">
        <v>0.8</v>
      </c>
      <c r="E15" s="28">
        <f t="shared" si="0"/>
        <v>0</v>
      </c>
      <c r="G15" s="6"/>
      <c r="H15" s="5" t="s">
        <v>102</v>
      </c>
      <c r="I15" s="157">
        <f>I26-SUM(I11:I14)</f>
        <v>729523</v>
      </c>
      <c r="J15" s="6"/>
    </row>
    <row r="16" spans="1:10" ht="14" x14ac:dyDescent="0.3">
      <c r="B16" s="3" t="s">
        <v>100</v>
      </c>
      <c r="C16" s="65">
        <v>0</v>
      </c>
      <c r="D16" s="66">
        <v>0.5</v>
      </c>
      <c r="E16" s="28">
        <f t="shared" si="0"/>
        <v>0</v>
      </c>
      <c r="F16" s="206" t="s">
        <v>250</v>
      </c>
      <c r="G16" s="95">
        <f>IF(F16="Y",0,1)</f>
        <v>0</v>
      </c>
      <c r="H16" s="5"/>
      <c r="I16" s="156"/>
      <c r="J16" s="6"/>
    </row>
    <row r="17" spans="2:10" ht="14" x14ac:dyDescent="0.3">
      <c r="B17" s="5" t="s">
        <v>103</v>
      </c>
      <c r="C17" s="65">
        <v>431627</v>
      </c>
      <c r="D17" s="66">
        <v>0.6</v>
      </c>
      <c r="E17" s="28">
        <f t="shared" si="0"/>
        <v>258976.19999999998</v>
      </c>
      <c r="F17" s="6"/>
      <c r="G17" s="6"/>
      <c r="H17" s="5"/>
      <c r="I17" s="156"/>
      <c r="J17" s="6"/>
    </row>
    <row r="18" spans="2:10" ht="14" x14ac:dyDescent="0.3">
      <c r="B18" s="5" t="s">
        <v>104</v>
      </c>
      <c r="C18" s="65">
        <v>825412</v>
      </c>
      <c r="D18" s="66">
        <v>0.6</v>
      </c>
      <c r="E18" s="28">
        <f t="shared" si="0"/>
        <v>495247.19999999995</v>
      </c>
      <c r="G18" s="6"/>
    </row>
    <row r="19" spans="2:10" ht="14" x14ac:dyDescent="0.3">
      <c r="B19" s="3" t="s">
        <v>105</v>
      </c>
      <c r="C19" s="65">
        <v>0</v>
      </c>
      <c r="D19" s="66">
        <v>0.75</v>
      </c>
      <c r="E19" s="28">
        <f t="shared" si="0"/>
        <v>0</v>
      </c>
      <c r="F19" s="206" t="s">
        <v>250</v>
      </c>
      <c r="G19" s="95">
        <f>IF(F19="Y",0,1)</f>
        <v>0</v>
      </c>
      <c r="H19" s="5"/>
      <c r="I19" s="156"/>
    </row>
    <row r="20" spans="2:10" ht="14" x14ac:dyDescent="0.3">
      <c r="B20" s="5" t="s">
        <v>106</v>
      </c>
      <c r="C20" s="65">
        <v>0</v>
      </c>
      <c r="D20" s="66">
        <v>0.6</v>
      </c>
      <c r="E20" s="28">
        <f t="shared" si="0"/>
        <v>0</v>
      </c>
      <c r="F20" s="206" t="s">
        <v>250</v>
      </c>
      <c r="G20" s="95">
        <f>IF(F20="Y",0,1)</f>
        <v>0</v>
      </c>
      <c r="H20" s="5"/>
      <c r="I20" s="156"/>
    </row>
    <row r="21" spans="2:10" ht="14" x14ac:dyDescent="0.3">
      <c r="B21" s="5" t="s">
        <v>107</v>
      </c>
      <c r="C21" s="65">
        <v>0</v>
      </c>
      <c r="D21" s="66">
        <v>0.95</v>
      </c>
      <c r="E21" s="28">
        <f t="shared" si="0"/>
        <v>0</v>
      </c>
      <c r="F21" s="6"/>
      <c r="G21" s="6"/>
      <c r="H21" s="5"/>
      <c r="I21" s="156"/>
    </row>
    <row r="22" spans="2:10" ht="15" customHeight="1" x14ac:dyDescent="0.3">
      <c r="B22" s="5" t="s">
        <v>108</v>
      </c>
      <c r="C22" s="65">
        <v>0</v>
      </c>
      <c r="D22" s="66">
        <v>0</v>
      </c>
      <c r="E22" s="28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7" t="s">
        <v>109</v>
      </c>
      <c r="C24" s="71">
        <f>SUM(C11:C14)</f>
        <v>1386983</v>
      </c>
      <c r="D24" s="69">
        <f>IF(E24=0,0,E24/C24)</f>
        <v>1</v>
      </c>
      <c r="E24" s="28">
        <f>SUM(E11:E14)</f>
        <v>1386983</v>
      </c>
      <c r="F24" s="6"/>
      <c r="G24" s="6"/>
      <c r="H24" s="67" t="s">
        <v>110</v>
      </c>
      <c r="I24" s="70">
        <f>E24/($I$26-I13)</f>
        <v>1.8912587865523989</v>
      </c>
      <c r="J24" s="13" t="str">
        <f>IF(I24&lt;1,"Liquidity Problem!","")</f>
        <v/>
      </c>
    </row>
    <row r="25" spans="2:10" ht="15" customHeight="1" x14ac:dyDescent="0.3">
      <c r="B25" s="67" t="s">
        <v>111</v>
      </c>
      <c r="C25" s="71">
        <f>C24+SUM(C15:C17)</f>
        <v>1818610</v>
      </c>
      <c r="D25" s="69">
        <f>IF(E25=0,0,E25/C25)</f>
        <v>0.90506441732971887</v>
      </c>
      <c r="E25" s="28">
        <f>E24+SUM(E15:E17)</f>
        <v>1645959.2</v>
      </c>
      <c r="F25" s="6"/>
      <c r="G25" s="6"/>
      <c r="H25" s="67" t="s">
        <v>112</v>
      </c>
      <c r="I25" s="70">
        <f>E25/$I$26</f>
        <v>2.2443929012156292</v>
      </c>
      <c r="J25" s="13"/>
    </row>
    <row r="26" spans="2:10" ht="15" customHeight="1" x14ac:dyDescent="0.3">
      <c r="B26" s="5" t="s">
        <v>113</v>
      </c>
      <c r="C26" s="71">
        <f>SUM(C11:C22)</f>
        <v>2644022</v>
      </c>
      <c r="D26" s="14">
        <f t="shared" ref="D26" si="2">E26/C26</f>
        <v>0.80982926768385433</v>
      </c>
      <c r="E26" s="28">
        <f>SUM(E11:E22)</f>
        <v>2141206.4</v>
      </c>
      <c r="H26" s="5" t="s">
        <v>58</v>
      </c>
      <c r="I26" s="65">
        <v>733365</v>
      </c>
    </row>
    <row r="27" spans="2:10" ht="15" customHeight="1" x14ac:dyDescent="0.3">
      <c r="C27" s="6"/>
      <c r="D27" s="6"/>
      <c r="E27" s="6"/>
      <c r="F27" s="31" t="s">
        <v>249</v>
      </c>
      <c r="G27" s="6"/>
      <c r="I27" s="6"/>
      <c r="J27" s="6"/>
    </row>
    <row r="28" spans="2:10" ht="15" customHeight="1" x14ac:dyDescent="0.3">
      <c r="B28" s="5" t="s">
        <v>114</v>
      </c>
      <c r="C28" s="65">
        <v>0</v>
      </c>
      <c r="D28" s="66">
        <v>0.95</v>
      </c>
      <c r="E28" s="28">
        <v>0</v>
      </c>
      <c r="F28" s="6"/>
      <c r="G28" s="6"/>
      <c r="H28" s="5" t="s">
        <v>115</v>
      </c>
      <c r="I28" s="65">
        <v>0</v>
      </c>
      <c r="J28" s="6"/>
    </row>
    <row r="29" spans="2:10" ht="15" customHeight="1" x14ac:dyDescent="0.3">
      <c r="B29" s="5" t="s">
        <v>116</v>
      </c>
      <c r="C29" s="65">
        <v>112359</v>
      </c>
      <c r="D29" s="66">
        <v>0.85</v>
      </c>
      <c r="E29" s="28">
        <f t="shared" ref="E29:E40" si="3">C29*D29</f>
        <v>95505.15</v>
      </c>
      <c r="F29" s="6"/>
      <c r="G29" s="6"/>
      <c r="H29" s="5" t="s">
        <v>117</v>
      </c>
      <c r="I29" s="65">
        <v>2070</v>
      </c>
      <c r="J29" s="6"/>
    </row>
    <row r="30" spans="2:10" ht="15" customHeight="1" x14ac:dyDescent="0.3">
      <c r="B30" s="5" t="s">
        <v>118</v>
      </c>
      <c r="C30" s="65">
        <v>0</v>
      </c>
      <c r="D30" s="66">
        <v>0.2</v>
      </c>
      <c r="E30" s="28">
        <f t="shared" si="3"/>
        <v>0</v>
      </c>
      <c r="F30" s="6"/>
      <c r="G30" s="6"/>
      <c r="H30" s="5" t="s">
        <v>120</v>
      </c>
      <c r="I30" s="65">
        <v>0</v>
      </c>
      <c r="J30" s="6"/>
    </row>
    <row r="31" spans="2:10" ht="14" x14ac:dyDescent="0.3">
      <c r="B31" s="3" t="s">
        <v>119</v>
      </c>
      <c r="C31" s="65">
        <v>0</v>
      </c>
      <c r="D31" s="66">
        <v>0.3</v>
      </c>
      <c r="E31" s="28">
        <f t="shared" si="3"/>
        <v>0</v>
      </c>
      <c r="F31" s="6"/>
      <c r="G31" s="6"/>
      <c r="H31" s="3" t="s">
        <v>119</v>
      </c>
      <c r="I31" s="65">
        <v>0</v>
      </c>
      <c r="J31" s="6"/>
    </row>
    <row r="32" spans="2:10" ht="14" x14ac:dyDescent="0.3">
      <c r="B32" s="5" t="s">
        <v>121</v>
      </c>
      <c r="C32" s="65">
        <v>0</v>
      </c>
      <c r="D32" s="66">
        <v>0.4</v>
      </c>
      <c r="E32" s="28">
        <f t="shared" si="3"/>
        <v>0</v>
      </c>
      <c r="G32" s="6"/>
      <c r="H32" s="5" t="s">
        <v>122</v>
      </c>
      <c r="I32" s="157">
        <f>I42-SUM(I28:I31)</f>
        <v>12579</v>
      </c>
      <c r="J32" s="6"/>
    </row>
    <row r="33" spans="2:10" ht="14" x14ac:dyDescent="0.3">
      <c r="B33" s="5" t="s">
        <v>123</v>
      </c>
      <c r="C33" s="65">
        <v>0</v>
      </c>
      <c r="D33" s="66">
        <v>0.8</v>
      </c>
      <c r="E33" s="222">
        <f t="shared" si="3"/>
        <v>0</v>
      </c>
      <c r="F33" s="206" t="s">
        <v>251</v>
      </c>
      <c r="G33" s="95">
        <f>IF(F33="Y",0,1)</f>
        <v>1</v>
      </c>
      <c r="J33" s="6"/>
    </row>
    <row r="34" spans="2:10" ht="14" x14ac:dyDescent="0.3">
      <c r="B34" s="5" t="s">
        <v>124</v>
      </c>
      <c r="C34" s="65">
        <v>0</v>
      </c>
      <c r="D34" s="66">
        <v>0.7</v>
      </c>
      <c r="E34" s="222">
        <f t="shared" si="3"/>
        <v>0</v>
      </c>
      <c r="F34" s="206" t="s">
        <v>250</v>
      </c>
      <c r="G34" s="95">
        <f>IF(F34="Y",0,1)</f>
        <v>0</v>
      </c>
    </row>
    <row r="35" spans="2:10" ht="14" x14ac:dyDescent="0.3">
      <c r="B35" s="3" t="s">
        <v>106</v>
      </c>
      <c r="C35" s="65">
        <v>0</v>
      </c>
      <c r="D35" s="66">
        <v>0.4</v>
      </c>
      <c r="E35" s="28">
        <f t="shared" si="3"/>
        <v>0</v>
      </c>
      <c r="F35" s="206" t="s">
        <v>250</v>
      </c>
      <c r="G35" s="95">
        <f>IF(F35="Y",0,1)</f>
        <v>0</v>
      </c>
    </row>
    <row r="36" spans="2:10" ht="15" customHeight="1" x14ac:dyDescent="0.3">
      <c r="B36" s="5" t="s">
        <v>125</v>
      </c>
      <c r="C36" s="65">
        <v>818077</v>
      </c>
      <c r="D36" s="66">
        <v>0.3</v>
      </c>
      <c r="E36" s="28">
        <f t="shared" si="3"/>
        <v>245423.09999999998</v>
      </c>
      <c r="F36" s="6"/>
      <c r="G36" s="6"/>
    </row>
    <row r="37" spans="2:10" ht="14" x14ac:dyDescent="0.3">
      <c r="B37" s="5" t="s">
        <v>126</v>
      </c>
      <c r="C37" s="65">
        <v>0</v>
      </c>
      <c r="D37" s="66">
        <v>0.5</v>
      </c>
      <c r="E37" s="28">
        <f t="shared" si="3"/>
        <v>0</v>
      </c>
      <c r="F37" s="6"/>
      <c r="G37" s="6"/>
    </row>
    <row r="38" spans="2:10" ht="15" customHeight="1" x14ac:dyDescent="0.3">
      <c r="B38" s="5" t="s">
        <v>127</v>
      </c>
      <c r="C38" s="65">
        <v>5139</v>
      </c>
      <c r="D38" s="66">
        <v>0.3</v>
      </c>
      <c r="E38" s="28">
        <f t="shared" si="3"/>
        <v>1541.7</v>
      </c>
      <c r="F38" s="6"/>
      <c r="G38" s="6"/>
    </row>
    <row r="39" spans="2:10" ht="15" customHeight="1" x14ac:dyDescent="0.3">
      <c r="B39" s="5" t="s">
        <v>128</v>
      </c>
      <c r="C39" s="65">
        <v>753</v>
      </c>
      <c r="D39" s="66">
        <v>0.95</v>
      </c>
      <c r="E39" s="28">
        <f t="shared" si="3"/>
        <v>715.35</v>
      </c>
      <c r="F39" s="6"/>
      <c r="G39" s="6"/>
    </row>
    <row r="40" spans="2:10" ht="15" customHeight="1" x14ac:dyDescent="0.3">
      <c r="B40" s="5" t="s">
        <v>129</v>
      </c>
      <c r="C40" s="65">
        <v>2908</v>
      </c>
      <c r="D40" s="66">
        <v>0.1</v>
      </c>
      <c r="E40" s="28">
        <f t="shared" si="3"/>
        <v>290.8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130</v>
      </c>
      <c r="C42" s="68">
        <f>SUM(C28:C40)</f>
        <v>939236</v>
      </c>
      <c r="D42" s="14">
        <f>E42/C42</f>
        <v>0.36569733272574728</v>
      </c>
      <c r="E42" s="28">
        <f>SUM(E28:E40)</f>
        <v>343476.1</v>
      </c>
      <c r="F42" s="6"/>
      <c r="G42" s="6"/>
      <c r="H42" s="5" t="s">
        <v>131</v>
      </c>
      <c r="I42" s="65">
        <v>14649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7" t="s">
        <v>132</v>
      </c>
      <c r="C44" s="71">
        <f>C24+SUM(C28:C29)</f>
        <v>1499342</v>
      </c>
      <c r="D44" s="69">
        <f>IF(E44=0,0,E44/C44)</f>
        <v>0.98875916902214434</v>
      </c>
      <c r="E44" s="28">
        <f>E24+SUM(E28:E29)</f>
        <v>1482488.15</v>
      </c>
      <c r="F44" s="6"/>
      <c r="G44" s="6"/>
      <c r="H44" s="67" t="s">
        <v>133</v>
      </c>
      <c r="I44" s="70">
        <f>E44/$I$46</f>
        <v>1.98189893504667</v>
      </c>
      <c r="J44" s="13" t="str">
        <f>IF(I44&lt;1,"Liquidity Problem!","")</f>
        <v/>
      </c>
    </row>
    <row r="45" spans="2:10" ht="15" customHeight="1" x14ac:dyDescent="0.3">
      <c r="B45" s="67" t="s">
        <v>134</v>
      </c>
      <c r="C45" s="71">
        <f>C44+(C25-C24)+SUM(C30:C33)</f>
        <v>1930969</v>
      </c>
      <c r="D45" s="69">
        <f>IF(E45=0,0,E45/C45)</f>
        <v>0.90186033540673094</v>
      </c>
      <c r="E45" s="28">
        <f>E44+(E25-E24)+SUM(E30:E33)</f>
        <v>1741464.3499999999</v>
      </c>
      <c r="F45" s="6"/>
      <c r="G45" s="6"/>
      <c r="H45" s="67" t="s">
        <v>135</v>
      </c>
      <c r="I45" s="70">
        <f>E45/$I$46</f>
        <v>2.3281173213335578</v>
      </c>
      <c r="J45" s="6"/>
    </row>
    <row r="46" spans="2:10" ht="15" customHeight="1" x14ac:dyDescent="0.3">
      <c r="B46" s="5" t="s">
        <v>136</v>
      </c>
      <c r="C46" s="71">
        <f>C26+C42</f>
        <v>3583258</v>
      </c>
      <c r="D46" s="14">
        <f>E46/C46</f>
        <v>0.69341434526902612</v>
      </c>
      <c r="E46" s="28">
        <f>E26+E42</f>
        <v>2484682.5</v>
      </c>
      <c r="F46" s="6"/>
      <c r="G46" s="6"/>
      <c r="H46" s="5" t="s">
        <v>137</v>
      </c>
      <c r="I46" s="157">
        <f>I26+I42</f>
        <v>748014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138</v>
      </c>
      <c r="C48" s="21"/>
      <c r="D48" s="53"/>
    </row>
    <row r="49" spans="2:9" ht="14" x14ac:dyDescent="0.3">
      <c r="B49" s="218" t="s">
        <v>216</v>
      </c>
      <c r="C49" s="6"/>
      <c r="D49" s="219" t="str">
        <f>IF(E50=D4,"BV of the MI","P/B Approach")</f>
        <v>BV of the MI</v>
      </c>
      <c r="E49" s="6"/>
    </row>
    <row r="50" spans="2:9" ht="14" x14ac:dyDescent="0.3">
      <c r="B50" s="5" t="s">
        <v>215</v>
      </c>
      <c r="C50" s="220">
        <f>D4</f>
        <v>0</v>
      </c>
      <c r="D50" s="216">
        <f>IF(E50=0, 0,E50/C50)</f>
        <v>0</v>
      </c>
      <c r="E50" s="220">
        <f>MAX(C50,C50*Dashboard!I10)</f>
        <v>0</v>
      </c>
      <c r="I50" s="159"/>
    </row>
    <row r="51" spans="2:9" ht="15" customHeight="1" x14ac:dyDescent="0.3">
      <c r="C51" s="6"/>
      <c r="D51" s="6"/>
      <c r="E51" s="6"/>
    </row>
    <row r="52" spans="2:9" ht="14.5" thickBot="1" x14ac:dyDescent="0.35">
      <c r="B52" s="76" t="s">
        <v>275</v>
      </c>
      <c r="C52" s="5"/>
      <c r="D52" s="419">
        <f>D53+D54+D55</f>
        <v>5912</v>
      </c>
      <c r="E52" s="420"/>
      <c r="F52" s="54"/>
      <c r="G52" s="54"/>
    </row>
    <row r="53" spans="2:9" ht="14.5" thickTop="1" x14ac:dyDescent="0.3">
      <c r="B53" s="59" t="s">
        <v>243</v>
      </c>
      <c r="C53" s="6"/>
      <c r="D53" s="422">
        <f>SUM(I11:I13)+SUM(I28:I30)</f>
        <v>5912</v>
      </c>
      <c r="E53" s="414"/>
      <c r="F53" s="5"/>
      <c r="G53" s="5"/>
      <c r="H53" s="3" t="s">
        <v>283</v>
      </c>
      <c r="I53" s="14">
        <f>D53/I3</f>
        <v>2.0851820866211162E-3</v>
      </c>
    </row>
    <row r="54" spans="2:9" ht="14" x14ac:dyDescent="0.3">
      <c r="B54" s="59" t="s">
        <v>140</v>
      </c>
      <c r="C54" s="6"/>
      <c r="D54" s="429">
        <v>0</v>
      </c>
      <c r="E54" s="392"/>
      <c r="F54" s="6" t="s">
        <v>141</v>
      </c>
      <c r="G54" s="6"/>
    </row>
    <row r="55" spans="2:9" ht="12.75" customHeight="1" x14ac:dyDescent="0.3">
      <c r="B55" s="59" t="s">
        <v>139</v>
      </c>
      <c r="C55" s="6"/>
      <c r="D55" s="429">
        <v>0</v>
      </c>
      <c r="E55" s="392"/>
      <c r="F55" s="5" t="s">
        <v>142</v>
      </c>
      <c r="G55" s="5"/>
    </row>
    <row r="56" spans="2:9" ht="15" customHeight="1" x14ac:dyDescent="0.3">
      <c r="D56" s="6"/>
      <c r="E56" s="6"/>
    </row>
    <row r="57" spans="2:9" ht="14" x14ac:dyDescent="0.3">
      <c r="B57" s="76" t="s">
        <v>143</v>
      </c>
      <c r="C57" s="5"/>
      <c r="D57" s="421"/>
      <c r="E57" s="421"/>
      <c r="F57" s="19"/>
      <c r="G57" s="19"/>
    </row>
    <row r="58" spans="2:9" ht="15" customHeight="1" x14ac:dyDescent="0.3">
      <c r="B58" s="54" t="s">
        <v>244</v>
      </c>
      <c r="C58" s="215">
        <f>C14+C15+(C19*G19)+(C20*G20)+C29+C30+(C33*G33)+(C34*G34)+(C35*G35)</f>
        <v>112359</v>
      </c>
      <c r="D58" s="131">
        <f>IF(E58=0,0,E58/C58)</f>
        <v>0.85</v>
      </c>
      <c r="E58" s="223">
        <f>E14+E15+(E19*G19)+(E20*G20)+E29+E30+(E33*G33)+(E34*G34)+(E35*G35)</f>
        <v>95505.15</v>
      </c>
      <c r="H58" s="6"/>
    </row>
    <row r="59" spans="2:9" ht="14" x14ac:dyDescent="0.3">
      <c r="B59" s="54" t="s">
        <v>93</v>
      </c>
      <c r="C59" s="215">
        <f>C11+C12+C28</f>
        <v>1386983</v>
      </c>
      <c r="D59" s="216">
        <f>IF(E59=0,0,E59/C59)</f>
        <v>1</v>
      </c>
      <c r="E59" s="217">
        <f>E11+E12+E28</f>
        <v>1386983</v>
      </c>
      <c r="F59" s="6"/>
      <c r="G59" s="6"/>
    </row>
    <row r="60" spans="2:9" ht="14" x14ac:dyDescent="0.3">
      <c r="B60" s="54" t="s">
        <v>144</v>
      </c>
      <c r="C60" s="6"/>
      <c r="D60" s="427">
        <f>((Dashboard!I6*Data!C4)+D52+E50-C58-C59)</f>
        <v>940110</v>
      </c>
      <c r="E60" s="42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5" t="s">
        <v>274</v>
      </c>
    </row>
    <row r="63" spans="2:9" ht="15" customHeight="1" x14ac:dyDescent="0.3">
      <c r="B63" s="3" t="s">
        <v>277</v>
      </c>
      <c r="D63" s="425">
        <f>((C26-C11-C12-C14-C15-C16*G16-C19*G19-C20*G20)-I26)/Data!C7</f>
        <v>8.5754920672350646E-2</v>
      </c>
      <c r="E63" s="426"/>
    </row>
    <row r="64" spans="2:9" ht="15" customHeight="1" x14ac:dyDescent="0.3">
      <c r="B64" s="3" t="s">
        <v>276</v>
      </c>
      <c r="D64" s="423">
        <v>6.3399999999999998E-2</v>
      </c>
      <c r="E64" s="424"/>
      <c r="F64" s="268" t="s">
        <v>261</v>
      </c>
    </row>
    <row r="65" spans="2:5" ht="15" customHeight="1" x14ac:dyDescent="0.3">
      <c r="B65" s="295" t="s">
        <v>278</v>
      </c>
      <c r="D65" s="423">
        <f>D63</f>
        <v>8.5754920672350646E-2</v>
      </c>
      <c r="E65" s="42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I17" sqref="I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3" t="s">
        <v>256</v>
      </c>
      <c r="C2" s="288" t="s">
        <v>272</v>
      </c>
      <c r="D2" s="288"/>
      <c r="E2" s="288">
        <v>1</v>
      </c>
      <c r="F2" s="288"/>
      <c r="G2" s="288">
        <v>2</v>
      </c>
      <c r="H2" s="12"/>
      <c r="I2" s="288">
        <v>3</v>
      </c>
      <c r="J2" s="288"/>
      <c r="K2" s="12"/>
      <c r="L2" s="12"/>
    </row>
    <row r="3" spans="1:13" ht="15.75" customHeight="1" x14ac:dyDescent="0.3">
      <c r="B3" s="30" t="str">
        <f>'FCFF Model'!B3</f>
        <v>(Numbers in 1000HKD)</v>
      </c>
      <c r="C3" s="280">
        <f>Data!C3</f>
        <v>44742</v>
      </c>
      <c r="D3" s="29" t="s">
        <v>258</v>
      </c>
      <c r="E3" s="280">
        <f>EOMONTH(EDATE(C3,12),0)</f>
        <v>45107</v>
      </c>
      <c r="F3" s="29" t="s">
        <v>258</v>
      </c>
      <c r="G3" s="280">
        <f>IF(G7="","",EOMONTH(EDATE(E3,12),0))</f>
        <v>45473</v>
      </c>
      <c r="H3" s="29"/>
      <c r="I3" s="280">
        <f>IF(I14="","",EOMONTH(EDATE(G3,12),0))</f>
        <v>45838</v>
      </c>
      <c r="J3" s="300"/>
      <c r="L3" s="73" t="s">
        <v>145</v>
      </c>
    </row>
    <row r="4" spans="1:13" ht="15.75" customHeight="1" x14ac:dyDescent="0.3">
      <c r="B4" s="296" t="s">
        <v>293</v>
      </c>
      <c r="C4" s="297">
        <v>798991</v>
      </c>
      <c r="D4" s="262">
        <f>C4/C6</f>
        <v>0.13083981603616393</v>
      </c>
      <c r="E4" s="297">
        <f>C4</f>
        <v>798991</v>
      </c>
      <c r="F4" s="262">
        <f>E4/E6</f>
        <v>0.13083981603616393</v>
      </c>
      <c r="G4" s="224"/>
      <c r="H4" s="262"/>
      <c r="I4" s="224"/>
      <c r="J4" s="289"/>
      <c r="K4" s="6"/>
      <c r="L4" s="75"/>
      <c r="M4" s="58"/>
    </row>
    <row r="5" spans="1:13" ht="15.75" customHeight="1" x14ac:dyDescent="0.3">
      <c r="B5" s="296" t="s">
        <v>294</v>
      </c>
      <c r="C5" s="297">
        <v>5307644</v>
      </c>
      <c r="D5" s="262">
        <f>C5/C6</f>
        <v>0.8691601839638361</v>
      </c>
      <c r="E5" s="297">
        <f>C5</f>
        <v>5307644</v>
      </c>
      <c r="F5" s="262">
        <f>E5/E6</f>
        <v>0.8691601839638361</v>
      </c>
      <c r="G5" s="224"/>
      <c r="H5" s="262"/>
      <c r="I5" s="224"/>
      <c r="J5" s="289"/>
      <c r="K5" s="6"/>
      <c r="L5" s="75"/>
      <c r="M5" s="58"/>
    </row>
    <row r="6" spans="1:13" ht="15.75" customHeight="1" x14ac:dyDescent="0.3">
      <c r="B6" s="5" t="s">
        <v>147</v>
      </c>
      <c r="C6" s="182">
        <f>C4+C5</f>
        <v>6106635</v>
      </c>
      <c r="D6" s="261"/>
      <c r="E6" s="342">
        <f>E4+E5</f>
        <v>6106635</v>
      </c>
      <c r="F6" s="261"/>
      <c r="G6" s="342">
        <f>E6*(1+Dashboard!D10)</f>
        <v>6284948.7419999996</v>
      </c>
      <c r="H6" s="261"/>
      <c r="I6" s="230">
        <f>G6*(1+Dashboard!D10)</f>
        <v>6468469.2452663993</v>
      </c>
      <c r="J6" s="290"/>
      <c r="K6" s="6"/>
      <c r="L6" s="75" t="s">
        <v>280</v>
      </c>
      <c r="M6" s="58"/>
    </row>
    <row r="7" spans="1:13" ht="15.75" customHeight="1" x14ac:dyDescent="0.3">
      <c r="B7" s="17" t="s">
        <v>146</v>
      </c>
      <c r="C7" s="189"/>
      <c r="D7" s="263"/>
      <c r="E7" s="18">
        <f>E6/C6-1</f>
        <v>0</v>
      </c>
      <c r="F7" s="263"/>
      <c r="G7" s="74">
        <f>G6/E6-1</f>
        <v>2.9199999999999893E-2</v>
      </c>
      <c r="H7" s="263"/>
      <c r="I7" s="74">
        <f>I6/G6-1</f>
        <v>2.9199999999999893E-2</v>
      </c>
      <c r="J7" s="332"/>
      <c r="K7" s="6"/>
      <c r="L7" s="75"/>
      <c r="M7" s="58"/>
    </row>
    <row r="8" spans="1:13" ht="15.75" customHeight="1" x14ac:dyDescent="0.3">
      <c r="B8" s="8" t="s">
        <v>148</v>
      </c>
      <c r="C8" s="183">
        <f>Data!C9</f>
        <v>4963246</v>
      </c>
      <c r="D8" s="264"/>
      <c r="E8" s="229">
        <f>E6*(1-E9)</f>
        <v>4963246</v>
      </c>
      <c r="F8" s="264"/>
      <c r="G8" s="284">
        <f>IF(G6="","",G6*(1-G9))</f>
        <v>5020928.7728349995</v>
      </c>
      <c r="H8" s="264"/>
      <c r="I8" s="284">
        <f>IF(I6="","",I6*(1-I9))</f>
        <v>5077748.3575341236</v>
      </c>
      <c r="J8" s="333"/>
      <c r="K8" s="6"/>
      <c r="L8" s="118"/>
      <c r="M8" s="1"/>
    </row>
    <row r="9" spans="1:13" ht="15.75" customHeight="1" x14ac:dyDescent="0.3">
      <c r="B9" s="17" t="s">
        <v>48</v>
      </c>
      <c r="C9" s="188">
        <f>(C6-C8)/C6</f>
        <v>0.18723716089139109</v>
      </c>
      <c r="D9" s="188"/>
      <c r="E9" s="74">
        <f>C9</f>
        <v>0.18723716089139109</v>
      </c>
      <c r="F9" s="188"/>
      <c r="G9" s="74">
        <f>(E9+21.5%)/2</f>
        <v>0.20111858044569553</v>
      </c>
      <c r="H9" s="188"/>
      <c r="I9" s="74">
        <v>0.215</v>
      </c>
      <c r="J9" s="334"/>
      <c r="K9" s="6"/>
      <c r="L9" s="75"/>
    </row>
    <row r="10" spans="1:13" ht="15.75" customHeight="1" x14ac:dyDescent="0.3">
      <c r="B10" s="5" t="s">
        <v>149</v>
      </c>
      <c r="C10" s="28">
        <f>C6-C8</f>
        <v>1143389</v>
      </c>
      <c r="D10" s="28"/>
      <c r="E10" s="28">
        <f>E6-E8</f>
        <v>1143389</v>
      </c>
      <c r="F10" s="28"/>
      <c r="G10" s="28">
        <f>IF(G7="","",G6-G8)</f>
        <v>1264019.9691650001</v>
      </c>
      <c r="H10" s="28"/>
      <c r="I10" s="28">
        <f>IF(I7="","",I6-I8)</f>
        <v>1390720.8877322758</v>
      </c>
      <c r="J10" s="244"/>
      <c r="K10" s="6"/>
      <c r="L10" s="75"/>
    </row>
    <row r="11" spans="1:13" ht="15.75" customHeight="1" x14ac:dyDescent="0.3">
      <c r="B11" s="17" t="s">
        <v>50</v>
      </c>
      <c r="C11" s="191">
        <f>C12/C6</f>
        <v>0.14702941963945773</v>
      </c>
      <c r="D11" s="191"/>
      <c r="E11" s="228">
        <v>0.15</v>
      </c>
      <c r="F11" s="191"/>
      <c r="G11" s="66">
        <v>0.156</v>
      </c>
      <c r="H11" s="191"/>
      <c r="I11" s="66">
        <f>G11</f>
        <v>0.156</v>
      </c>
      <c r="J11" s="335"/>
      <c r="K11" s="6"/>
      <c r="L11" s="75"/>
    </row>
    <row r="12" spans="1:13" ht="15.75" customHeight="1" x14ac:dyDescent="0.3">
      <c r="B12" s="8" t="s">
        <v>150</v>
      </c>
      <c r="C12" s="185">
        <f>694554+203301</f>
        <v>897855</v>
      </c>
      <c r="D12" s="265"/>
      <c r="E12" s="77">
        <f>E6*E11</f>
        <v>915995.25</v>
      </c>
      <c r="F12" s="265"/>
      <c r="G12" s="77">
        <f>G6*G11</f>
        <v>980452.00375199993</v>
      </c>
      <c r="H12" s="265"/>
      <c r="I12" s="77">
        <f>I6*I11</f>
        <v>1009081.2022615583</v>
      </c>
      <c r="J12" s="336"/>
      <c r="K12" s="6"/>
      <c r="L12" s="75"/>
    </row>
    <row r="13" spans="1:13" ht="15.75" customHeight="1" x14ac:dyDescent="0.3">
      <c r="B13" s="17" t="s">
        <v>51</v>
      </c>
      <c r="C13" s="18">
        <f>C15/C6</f>
        <v>4.0207741251933347E-2</v>
      </c>
      <c r="D13" s="18"/>
      <c r="E13" s="18">
        <f>E15/E6</f>
        <v>3.7237160891391084E-2</v>
      </c>
      <c r="F13" s="18"/>
      <c r="G13" s="18">
        <f>IF(G7="","",G15/G6)</f>
        <v>4.5118580445695576E-2</v>
      </c>
      <c r="H13" s="18"/>
      <c r="I13" s="18">
        <f>IF(I7="","",I15/I6)</f>
        <v>5.899999999999999E-2</v>
      </c>
      <c r="J13" s="233"/>
      <c r="K13" s="6"/>
      <c r="L13" s="75"/>
      <c r="M13" s="58"/>
    </row>
    <row r="14" spans="1:13" ht="15.75" customHeight="1" x14ac:dyDescent="0.3">
      <c r="B14" s="17" t="s">
        <v>151</v>
      </c>
      <c r="C14" s="190"/>
      <c r="D14" s="266"/>
      <c r="E14" s="14">
        <f>IF(ABS(C15+E15)=ABS(C15)+ABS(E15),IF(E15&lt;0,-1,1)*(E15-C15)/C15,"Turn")</f>
        <v>-7.3880806731450629E-2</v>
      </c>
      <c r="F14" s="266"/>
      <c r="G14" s="14">
        <f>IF(G7="","",IF(ABS(E15+G15)=ABS(E15)+ABS(G15),IF(G15&lt;0,-1,1)*(G15-E15)/E15,"Turn"))</f>
        <v>0.24703500167880693</v>
      </c>
      <c r="H14" s="266"/>
      <c r="I14" s="14">
        <f>IF(I7="","",IF(ABS(G15+I15)=ABS(G15)+ABS(I15),IF(I15&lt;0,-1,1)*(I15-G15)/G15,"Turn"))</f>
        <v>0.34584908036026407</v>
      </c>
      <c r="J14" s="337"/>
      <c r="K14" s="6"/>
      <c r="L14" s="78"/>
      <c r="M14" s="79"/>
    </row>
    <row r="15" spans="1:13" ht="15.75" customHeight="1" x14ac:dyDescent="0.3">
      <c r="B15" s="136" t="s">
        <v>254</v>
      </c>
      <c r="C15" s="323">
        <f>C10-C12</f>
        <v>245534</v>
      </c>
      <c r="D15" s="324"/>
      <c r="E15" s="323">
        <f>E10-E12</f>
        <v>227393.75</v>
      </c>
      <c r="F15" s="324"/>
      <c r="G15" s="323">
        <f>IF(G7="","",G10-G12)</f>
        <v>283567.9654130002</v>
      </c>
      <c r="H15" s="324"/>
      <c r="I15" s="323">
        <f>IF(I7="","",I10-I12)</f>
        <v>381639.68547071749</v>
      </c>
      <c r="J15" s="338"/>
      <c r="K15" s="6"/>
      <c r="L15" s="80"/>
      <c r="M15" s="57"/>
    </row>
    <row r="16" spans="1:13" ht="15.75" customHeight="1" x14ac:dyDescent="0.3">
      <c r="B16" s="319" t="s">
        <v>152</v>
      </c>
      <c r="C16" s="320">
        <v>0.25</v>
      </c>
      <c r="D16" s="321"/>
      <c r="E16" s="322">
        <f>IF(E15="","",C16)</f>
        <v>0.25</v>
      </c>
      <c r="F16" s="322"/>
      <c r="G16" s="322">
        <f>IF(G15="","",E16)</f>
        <v>0.25</v>
      </c>
      <c r="H16" s="322"/>
      <c r="I16" s="322">
        <f>IF(I15="","",G16)</f>
        <v>0.25</v>
      </c>
      <c r="J16" s="339"/>
    </row>
    <row r="17" spans="2:10" ht="15.75" customHeight="1" x14ac:dyDescent="0.3">
      <c r="B17" s="328" t="s">
        <v>297</v>
      </c>
      <c r="C17" s="190"/>
      <c r="D17" s="330"/>
      <c r="E17" s="329">
        <f>E18/C18-1</f>
        <v>-7.3880806731450588E-2</v>
      </c>
      <c r="F17" s="329"/>
      <c r="G17" s="329">
        <f>IF(G18="","",G18/E18-1)</f>
        <v>0.24703500167880699</v>
      </c>
      <c r="H17" s="329"/>
      <c r="I17" s="329">
        <f>IF(I18="","",I18/G18-1)</f>
        <v>0.34584908036026407</v>
      </c>
      <c r="J17" s="340"/>
    </row>
    <row r="18" spans="2:10" ht="15.75" customHeight="1" x14ac:dyDescent="0.3">
      <c r="B18" s="325" t="s">
        <v>80</v>
      </c>
      <c r="C18" s="326">
        <f>IF(C15&lt;=0,C15,C15*(1-C16))</f>
        <v>184150.5</v>
      </c>
      <c r="D18" s="326"/>
      <c r="E18" s="327">
        <f>IF(E15="","",IF(E15&lt;=0,E15,E15*(1-E16)))</f>
        <v>170545.3125</v>
      </c>
      <c r="F18" s="326"/>
      <c r="G18" s="327">
        <f>IF(G15="","",IF(G15&lt;=0,G15,G15*(1-G16)))</f>
        <v>212675.97405975015</v>
      </c>
      <c r="H18" s="326"/>
      <c r="I18" s="327">
        <f>IF(I15="","",IF(I15&lt;=0,I15,I15*(1-I16)))</f>
        <v>286229.76410303812</v>
      </c>
      <c r="J18" s="341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6" priority="8">
      <formula>LEN(TRIM(G7))=0</formula>
    </cfRule>
    <cfRule type="containsBlanks" priority="9">
      <formula>LEN(TRIM(G7))=0</formula>
    </cfRule>
  </conditionalFormatting>
  <conditionalFormatting sqref="I7 I11 I9">
    <cfRule type="containsBlanks" dxfId="5" priority="6">
      <formula>LEN(TRIM(I7))=0</formula>
    </cfRule>
    <cfRule type="containsBlanks" priority="7">
      <formula>LEN(TRIM(I7))=0</formula>
    </cfRule>
  </conditionalFormatting>
  <conditionalFormatting sqref="J7:J15">
    <cfRule type="containsBlanks" dxfId="4" priority="4">
      <formula>LEN(TRIM(J7))=0</formula>
    </cfRule>
    <cfRule type="containsBlanks" priority="5">
      <formula>LEN(TRIM(J7))=0</formula>
    </cfRule>
  </conditionalFormatting>
  <conditionalFormatting sqref="E16:E18 G18 I18">
    <cfRule type="containsBlanks" dxfId="3" priority="2">
      <formula>LEN(TRIM(E16))=0</formula>
    </cfRule>
  </conditionalFormatting>
  <conditionalFormatting sqref="G7:J18">
    <cfRule type="containsBlanks" dxfId="2" priority="1">
      <formula>LEN(TRIM(G7))=0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3" t="s">
        <v>232</v>
      </c>
      <c r="C2" s="288" t="s">
        <v>272</v>
      </c>
      <c r="D2" s="288">
        <v>1</v>
      </c>
      <c r="E2" s="288">
        <v>2</v>
      </c>
      <c r="F2" s="288">
        <v>3</v>
      </c>
      <c r="G2" s="288" t="str">
        <f>B24</f>
        <v>Exit after Year 3</v>
      </c>
      <c r="H2" s="12"/>
      <c r="I2" s="12"/>
    </row>
    <row r="3" spans="1:10" ht="15.75" customHeight="1" x14ac:dyDescent="0.3">
      <c r="B3" s="30" t="str">
        <f>"(Numbers in "&amp;Data!C4&amp;Dashboard!I11&amp;")"</f>
        <v>(Numbers in 1000HKD)</v>
      </c>
      <c r="C3" s="280">
        <f>Operation!C3</f>
        <v>44742</v>
      </c>
      <c r="D3" s="280">
        <f>Operation!E3</f>
        <v>45107</v>
      </c>
      <c r="E3" s="280">
        <f>Operation!G3</f>
        <v>45473</v>
      </c>
      <c r="F3" s="280">
        <f>Operation!I3</f>
        <v>45838</v>
      </c>
      <c r="G3" s="29" t="s">
        <v>270</v>
      </c>
      <c r="I3" s="73" t="s">
        <v>145</v>
      </c>
    </row>
    <row r="4" spans="1:10" ht="15.75" customHeight="1" x14ac:dyDescent="0.3">
      <c r="B4" s="5" t="s">
        <v>80</v>
      </c>
      <c r="C4" s="184">
        <f>Operation!C18</f>
        <v>184150.5</v>
      </c>
      <c r="D4" s="46">
        <f>Operation!E18</f>
        <v>170545.3125</v>
      </c>
      <c r="E4" s="46">
        <f>Operation!G18</f>
        <v>212675.97405975015</v>
      </c>
      <c r="F4" s="203">
        <f>Operation!I18</f>
        <v>286229.76410303812</v>
      </c>
      <c r="G4" s="307">
        <f>IF(F3="",IF(E3="",1,2),3)</f>
        <v>3</v>
      </c>
      <c r="H4" s="6"/>
      <c r="I4" s="80"/>
      <c r="J4" s="57"/>
    </row>
    <row r="5" spans="1:10" ht="15.75" customHeight="1" x14ac:dyDescent="0.3">
      <c r="B5" s="17" t="s">
        <v>295</v>
      </c>
      <c r="C5" s="259"/>
      <c r="D5" s="260">
        <f>D4/C4-1</f>
        <v>-7.3880806731450588E-2</v>
      </c>
      <c r="E5" s="260">
        <f>IF(E4="","",E4/D4-1)</f>
        <v>0.24703500167880699</v>
      </c>
      <c r="F5" s="260">
        <f>IF(F4="","",F4/E4-1)</f>
        <v>0.34584908036026407</v>
      </c>
      <c r="G5" s="200"/>
      <c r="H5" s="6"/>
      <c r="I5" s="80"/>
      <c r="J5" s="57"/>
    </row>
    <row r="6" spans="1:10" ht="15.75" customHeight="1" x14ac:dyDescent="0.3">
      <c r="B6" s="17" t="s">
        <v>68</v>
      </c>
      <c r="C6" s="66">
        <v>0.38619999999999999</v>
      </c>
      <c r="D6" s="228">
        <v>0.38619999999999999</v>
      </c>
      <c r="E6" s="66">
        <v>0.38619999999999999</v>
      </c>
      <c r="F6" s="312">
        <v>0.38619999999999999</v>
      </c>
      <c r="G6" s="201"/>
      <c r="H6" s="6"/>
      <c r="I6" s="78"/>
    </row>
    <row r="7" spans="1:10" ht="15" customHeight="1" thickBot="1" x14ac:dyDescent="0.35">
      <c r="B7" s="82" t="s">
        <v>281</v>
      </c>
      <c r="C7" s="313">
        <f>C4*C6</f>
        <v>71118.9231</v>
      </c>
      <c r="D7" s="313">
        <f>D4*D6</f>
        <v>65864.599687499998</v>
      </c>
      <c r="E7" s="314">
        <f>E4*E6</f>
        <v>82135.461181875507</v>
      </c>
      <c r="F7" s="314">
        <f>F4*F6</f>
        <v>110541.93489659332</v>
      </c>
      <c r="G7" s="202"/>
      <c r="H7" s="83"/>
      <c r="I7" s="57"/>
      <c r="J7" s="57"/>
    </row>
    <row r="8" spans="1:10" ht="15.75" customHeight="1" thickTop="1" x14ac:dyDescent="0.3">
      <c r="B8" s="17" t="s">
        <v>153</v>
      </c>
      <c r="C8" s="194">
        <f>IF(C4="","",C4-C7)</f>
        <v>113031.5769</v>
      </c>
      <c r="D8" s="193">
        <f>D4-D7</f>
        <v>104680.7128125</v>
      </c>
      <c r="E8" s="193">
        <f>IF(E4="","",E4-E7)</f>
        <v>130540.51287787464</v>
      </c>
      <c r="F8" s="193">
        <f>IF(F4="","",F4-F7)</f>
        <v>175687.82920644479</v>
      </c>
      <c r="G8" s="231">
        <f>IF(F4="",IF(E4="",D8,E8),F8)</f>
        <v>175687.82920644479</v>
      </c>
      <c r="H8" s="83"/>
      <c r="I8" s="57"/>
      <c r="J8" s="57"/>
    </row>
    <row r="9" spans="1:10" ht="15.75" customHeight="1" x14ac:dyDescent="0.3">
      <c r="B9" s="205" t="s">
        <v>224</v>
      </c>
      <c r="C9" s="195">
        <f>C8/(Common_Shares/Data!$C$4)</f>
        <v>0.46447388125939987</v>
      </c>
      <c r="D9" s="309">
        <f>D8/(Common_Shares/Data!$C$4)</f>
        <v>0.4301581762062674</v>
      </c>
      <c r="E9" s="309">
        <f>IF(E8="","",E8/(Common_Shares/Data!$C$4))</f>
        <v>0.53642230198753527</v>
      </c>
      <c r="F9" s="309">
        <f>IF(F8="","",F8/(Common_Shares/Data!$C$4))</f>
        <v>0.72194346181466007</v>
      </c>
      <c r="G9" s="310">
        <f>G8*Data!C$4/Dashboard!I5</f>
        <v>0.72194346181466007</v>
      </c>
      <c r="H9" s="83"/>
      <c r="I9" s="57"/>
      <c r="J9" s="57"/>
    </row>
    <row r="10" spans="1:10" ht="15.75" customHeight="1" x14ac:dyDescent="0.3">
      <c r="B10" s="236" t="s">
        <v>255</v>
      </c>
      <c r="C10" s="315">
        <f>C11/C9</f>
        <v>1.0334273236172113</v>
      </c>
      <c r="D10" s="315">
        <f>D11/D9</f>
        <v>0.65092334747517566</v>
      </c>
      <c r="E10" s="331">
        <v>0.65</v>
      </c>
      <c r="F10" s="331">
        <v>0.65</v>
      </c>
      <c r="G10" s="237"/>
      <c r="H10" s="83"/>
      <c r="I10" s="57"/>
      <c r="J10" s="57"/>
    </row>
    <row r="11" spans="1:10" ht="15.75" customHeight="1" x14ac:dyDescent="0.3">
      <c r="B11" s="236" t="s">
        <v>271</v>
      </c>
      <c r="C11" s="286">
        <f>0.33+0.15</f>
        <v>0.48</v>
      </c>
      <c r="D11" s="287">
        <f>0.1+0.18</f>
        <v>0.28000000000000003</v>
      </c>
      <c r="E11" s="287">
        <f>E9*E10</f>
        <v>0.34867449629189795</v>
      </c>
      <c r="F11" s="287">
        <f>F9*F10</f>
        <v>0.46926325017952908</v>
      </c>
      <c r="G11" s="285"/>
      <c r="H11" s="83"/>
      <c r="I11" s="57"/>
      <c r="J11" s="57"/>
    </row>
    <row r="12" spans="1:10" ht="15.75" customHeight="1" x14ac:dyDescent="0.3">
      <c r="B12" s="19" t="s">
        <v>296</v>
      </c>
      <c r="C12" s="238">
        <v>0</v>
      </c>
      <c r="D12" s="238">
        <f>D11</f>
        <v>0.28000000000000003</v>
      </c>
      <c r="E12" s="238">
        <f>E11</f>
        <v>0.34867449629189795</v>
      </c>
      <c r="F12" s="238">
        <f>F11</f>
        <v>0.46926325017952908</v>
      </c>
      <c r="G12" s="232">
        <f>G9*D26</f>
        <v>7.2194346181466003</v>
      </c>
      <c r="H12" s="83"/>
      <c r="I12" s="57"/>
      <c r="J12" s="57"/>
    </row>
    <row r="13" spans="1:10" ht="15.75" customHeight="1" x14ac:dyDescent="0.3">
      <c r="B13" s="17" t="s">
        <v>154</v>
      </c>
      <c r="C13" s="192"/>
      <c r="D13" s="225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3">
        <f ca="1">Dashboard!C12</f>
        <v>9.6000000000000002E-2</v>
      </c>
      <c r="H13" s="63"/>
      <c r="I13" s="58"/>
      <c r="J13" s="58"/>
    </row>
    <row r="14" spans="1:10" ht="15.75" customHeight="1" thickBot="1" x14ac:dyDescent="0.35">
      <c r="B14" s="84" t="s">
        <v>155</v>
      </c>
      <c r="C14" s="116"/>
      <c r="D14" s="226">
        <f ca="1">IF(D4="","",1+D13)</f>
        <v>1.0960000000000001</v>
      </c>
      <c r="E14" s="227">
        <f ca="1">IF(E4="","",(1+D13)*(1+E13))</f>
        <v>1.2012160000000003</v>
      </c>
      <c r="F14" s="227">
        <f ca="1">IF(F4="","",(1+D13)*(1+E13)*(1+F13))</f>
        <v>1.3165327360000003</v>
      </c>
      <c r="G14" s="234">
        <f ca="1">IF(F4="",IF(E4="",D14,E14),F14)*(1+G13)</f>
        <v>1.4429198786560005</v>
      </c>
      <c r="H14" s="63"/>
      <c r="I14" s="58"/>
      <c r="J14" s="58"/>
    </row>
    <row r="15" spans="1:10" ht="15.75" customHeight="1" thickTop="1" x14ac:dyDescent="0.3">
      <c r="B15" s="8" t="s">
        <v>227</v>
      </c>
      <c r="C15" s="239">
        <f>C12</f>
        <v>0</v>
      </c>
      <c r="D15" s="197">
        <f ca="1">IF(D12="","",IF(D12=0,0,D12/D14))</f>
        <v>0.25547445255474455</v>
      </c>
      <c r="E15" s="198">
        <f ca="1">IF(E12="","",IF(E12=0,0,E12/E14))</f>
        <v>0.29026794206195877</v>
      </c>
      <c r="F15" s="198">
        <f ca="1">IF(F12="","",IF(F12=0,0,F12/F14))</f>
        <v>0.35643872525743936</v>
      </c>
      <c r="G15" s="235">
        <f ca="1">IF(G12=0,0,G12/G14)</f>
        <v>5.0033510002447965</v>
      </c>
      <c r="H15" s="81"/>
      <c r="I15" s="57"/>
      <c r="J15" s="57"/>
    </row>
    <row r="16" spans="1:10" ht="15.75" customHeight="1" x14ac:dyDescent="0.3">
      <c r="F16" s="6"/>
      <c r="G16" s="117"/>
    </row>
    <row r="17" spans="1:9" ht="15.75" customHeight="1" x14ac:dyDescent="0.3">
      <c r="B17" s="26" t="s">
        <v>228</v>
      </c>
      <c r="C17" s="196" t="str">
        <f>B3</f>
        <v>(Numbers in 1000HKD)</v>
      </c>
      <c r="E17" s="73" t="s">
        <v>229</v>
      </c>
    </row>
    <row r="18" spans="1:9" ht="15.75" customHeight="1" x14ac:dyDescent="0.3">
      <c r="B18" s="59" t="s">
        <v>248</v>
      </c>
      <c r="C18" s="85">
        <f>Asset_Model!E59</f>
        <v>1386983</v>
      </c>
      <c r="D18" s="221">
        <f>C18/(Dashboard!I5/Data!C4)</f>
        <v>5.6994460744429922</v>
      </c>
      <c r="E18" s="86" t="s">
        <v>245</v>
      </c>
      <c r="G18" s="139">
        <f>C18+C19+C20+C21</f>
        <v>1476576.15</v>
      </c>
    </row>
    <row r="19" spans="1:9" ht="15.75" customHeight="1" x14ac:dyDescent="0.3">
      <c r="B19" s="59" t="s">
        <v>252</v>
      </c>
      <c r="C19" s="85">
        <f>Asset_Model!E58</f>
        <v>95505.15</v>
      </c>
      <c r="D19" s="221">
        <f>C19/(Dashboard!I5/Data!C4)</f>
        <v>0.3924535861337804</v>
      </c>
      <c r="E19" s="86" t="s">
        <v>246</v>
      </c>
      <c r="G19" s="199">
        <f>G18*Data!C$4/Dashboard!I5</f>
        <v>6.067605833477157</v>
      </c>
    </row>
    <row r="20" spans="1:9" ht="15.75" customHeight="1" x14ac:dyDescent="0.3">
      <c r="B20" s="59" t="s">
        <v>230</v>
      </c>
      <c r="C20" s="85">
        <f>-Asset_Model!D52</f>
        <v>-5912</v>
      </c>
      <c r="D20" s="221">
        <f>C20/(Dashboard!I5/Data!C4)</f>
        <v>-2.4293827099616198E-2</v>
      </c>
      <c r="E20" s="432" t="str">
        <f>IF(F21+G21=G19,"⇒","Error!")</f>
        <v>⇒</v>
      </c>
      <c r="F20" s="148" t="s">
        <v>253</v>
      </c>
      <c r="G20" s="88" t="s">
        <v>23</v>
      </c>
    </row>
    <row r="21" spans="1:9" ht="15.75" customHeight="1" x14ac:dyDescent="0.3">
      <c r="B21" s="86" t="s">
        <v>247</v>
      </c>
      <c r="C21" s="85">
        <f>-Asset_Model!E50</f>
        <v>0</v>
      </c>
      <c r="D21" s="221">
        <f>C21/(Dashboard!I5/Data!C4)</f>
        <v>0</v>
      </c>
      <c r="E21" s="432"/>
      <c r="F21" s="150">
        <f>D18</f>
        <v>5.6994460744429922</v>
      </c>
      <c r="G21" s="149">
        <f>SUM(D19:D21)</f>
        <v>0.3681597590341642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231</v>
      </c>
      <c r="C23" s="196" t="str">
        <f>B3</f>
        <v>(Numbers in 1000HKD)</v>
      </c>
      <c r="E23" s="435" t="s">
        <v>238</v>
      </c>
      <c r="F23" s="435"/>
      <c r="G23" s="435"/>
    </row>
    <row r="24" spans="1:9" ht="15.75" customHeight="1" x14ac:dyDescent="0.3">
      <c r="B24" s="129" t="str">
        <f>"Exit after Year "&amp;G4</f>
        <v>Exit after Year 3</v>
      </c>
      <c r="C24" s="129" t="s">
        <v>234</v>
      </c>
      <c r="D24" s="204" t="s">
        <v>226</v>
      </c>
      <c r="E24" s="308" t="s">
        <v>235</v>
      </c>
      <c r="F24" s="267" t="s">
        <v>237</v>
      </c>
      <c r="G24" s="267" t="s">
        <v>236</v>
      </c>
      <c r="I24" s="87" t="s">
        <v>145</v>
      </c>
    </row>
    <row r="25" spans="1:9" ht="15.75" customHeight="1" x14ac:dyDescent="0.3">
      <c r="B25" s="31" t="s">
        <v>259</v>
      </c>
      <c r="C25" s="14">
        <f>1/D25</f>
        <v>0.16666666666666666</v>
      </c>
      <c r="D25" s="301">
        <v>6</v>
      </c>
      <c r="E25" s="208">
        <f ca="1">G9*D25/G14</f>
        <v>3.0020106001468783</v>
      </c>
      <c r="F25" s="433">
        <f ca="1">SUM(C15:F15)</f>
        <v>0.90218111987414262</v>
      </c>
      <c r="G25" s="208">
        <f ca="1">$F$25+E25+$G$19</f>
        <v>9.9717975534981775</v>
      </c>
      <c r="I25" s="75"/>
    </row>
    <row r="26" spans="1:9" ht="15.75" customHeight="1" x14ac:dyDescent="0.3">
      <c r="B26" s="305" t="s">
        <v>260</v>
      </c>
      <c r="C26" s="306">
        <f t="shared" ref="C26" si="0">1/D26</f>
        <v>0.1</v>
      </c>
      <c r="D26" s="318">
        <v>10</v>
      </c>
      <c r="E26" s="209">
        <f ca="1">G9*D26/G14</f>
        <v>5.0033510002447965</v>
      </c>
      <c r="F26" s="434"/>
      <c r="G26" s="209">
        <f ca="1">$F$25+E26+$G$19</f>
        <v>11.973137953596096</v>
      </c>
      <c r="I26" s="7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2" t="str">
        <f>"(Numbers in "&amp;Dashboard!J4&amp;" per share)"</f>
        <v>(Numbers in HKD per share)</v>
      </c>
      <c r="D28" s="129"/>
      <c r="E28" s="135"/>
      <c r="F28" s="129"/>
      <c r="G28" s="129"/>
      <c r="H28" s="12"/>
      <c r="I28" s="91"/>
    </row>
    <row r="29" spans="1:9" ht="15.75" customHeight="1" x14ac:dyDescent="0.3">
      <c r="A29" s="6"/>
      <c r="B29" s="72" t="s">
        <v>156</v>
      </c>
      <c r="C29" s="254">
        <f ca="1">MIN(Asset_Model!D7,G25)+(ABS(Asset_Model!D7-G25)*'Qualitative Analysis'!E65)*Exchange_Rate</f>
        <v>9.0838272445177033</v>
      </c>
      <c r="D29" s="23" t="str">
        <f ca="1">IF(C29&lt;E29,"&lt;",IF(C29=E29,"=","&gt;"))</f>
        <v>&lt;</v>
      </c>
      <c r="E29" s="253">
        <f ca="1">G26*Exchange_Rate</f>
        <v>11.973137953596096</v>
      </c>
      <c r="F29" s="31"/>
      <c r="H29" s="6"/>
      <c r="I29" s="6"/>
    </row>
    <row r="30" spans="1:9" ht="15.75" customHeight="1" x14ac:dyDescent="0.3">
      <c r="B30" s="6"/>
      <c r="C30" s="125"/>
      <c r="D30" s="125"/>
      <c r="E30" s="125"/>
      <c r="F30" s="125"/>
      <c r="G30" s="126"/>
      <c r="H30" s="6"/>
      <c r="I30" s="89"/>
    </row>
    <row r="31" spans="1:9" ht="15.75" customHeight="1" x14ac:dyDescent="0.3">
      <c r="C31" s="430" t="s">
        <v>157</v>
      </c>
      <c r="D31" s="431"/>
      <c r="E31" s="31" t="s">
        <v>225</v>
      </c>
      <c r="F31" s="31" t="s">
        <v>18</v>
      </c>
      <c r="G31" s="31"/>
      <c r="H31" s="6"/>
    </row>
    <row r="32" spans="1:9" ht="15.75" customHeight="1" x14ac:dyDescent="0.3">
      <c r="B32" s="258" t="s">
        <v>240</v>
      </c>
      <c r="C32" s="255">
        <f ca="1">MIN(C29,E29)+ABS(C29-E29)*'Qualitative Analysis'!$E$9</f>
        <v>11.279703383417282</v>
      </c>
      <c r="D32" s="121" t="str">
        <f>Dashboard!J4</f>
        <v>HKD</v>
      </c>
      <c r="E32" s="122">
        <f ca="1">(C32-G19)/C9</f>
        <v>11.221508378055098</v>
      </c>
      <c r="F32" s="160">
        <f ca="1">C32/(Data!C28*Exchange_Rate*Data!C4/Common_Shares)</f>
        <v>0.9276261951740209</v>
      </c>
      <c r="G32" s="88"/>
      <c r="H32" s="6"/>
      <c r="I32" s="75"/>
    </row>
    <row r="33" spans="2:7" ht="15.75" customHeight="1" x14ac:dyDescent="0.3">
      <c r="B33" s="257" t="s">
        <v>239</v>
      </c>
      <c r="C33" s="256">
        <f ca="1">MAX(Asset_Model!D7,(G12/(1+G33)^G4+F25+G19)*Exchange_Rate)</f>
        <v>12.794140689046326</v>
      </c>
      <c r="D33" s="210" t="str">
        <f>D32</f>
        <v>HKD</v>
      </c>
      <c r="E33" s="122">
        <f ca="1">(C33-G19)/C9</f>
        <v>14.482051902101524</v>
      </c>
      <c r="F33" s="160">
        <f ca="1">C33/(Data!C28*Exchange_Rate*Data!C4/Common_Shares)</f>
        <v>1.0521712889497634</v>
      </c>
      <c r="G33" s="283">
        <f>Dashboard!D10+4.5%</f>
        <v>7.4200000000000002E-2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8"/>
  <sheetViews>
    <sheetView showGridLines="0" zoomScaleNormal="100" workbookViewId="0">
      <selection activeCell="C49" sqref="C4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158</v>
      </c>
      <c r="C2" s="96"/>
      <c r="D2" s="12"/>
      <c r="E2" s="12"/>
      <c r="G2" s="73" t="s">
        <v>145</v>
      </c>
    </row>
    <row r="3" spans="1:7" ht="14" x14ac:dyDescent="0.3">
      <c r="B3" s="97" t="s">
        <v>159</v>
      </c>
      <c r="C3" s="98"/>
      <c r="D3" s="6"/>
      <c r="E3" s="6"/>
      <c r="G3" s="80"/>
    </row>
    <row r="4" spans="1:7" ht="14" x14ac:dyDescent="0.3">
      <c r="B4" s="6" t="s">
        <v>304</v>
      </c>
      <c r="C4" s="98"/>
      <c r="D4" s="95">
        <f>IF(E4="Strongly disagree",0,IF(E4="disagree",1,IF(E4="unclear",2,IF(E4="agree",3,4))))</f>
        <v>2</v>
      </c>
      <c r="E4" s="32" t="s">
        <v>160</v>
      </c>
      <c r="G4" s="80" t="s">
        <v>307</v>
      </c>
    </row>
    <row r="5" spans="1:7" ht="14" x14ac:dyDescent="0.3">
      <c r="B5" s="6" t="s">
        <v>308</v>
      </c>
      <c r="C5" s="98"/>
      <c r="D5" s="95">
        <f t="shared" ref="D5" si="0">IF(E5="Strongly disagree",0,IF(E5="disagree",1,IF(E5="unclear",2,IF(E5="agree",3,4))))</f>
        <v>4</v>
      </c>
      <c r="E5" s="32" t="s">
        <v>170</v>
      </c>
      <c r="G5" s="78"/>
    </row>
    <row r="6" spans="1:7" ht="14" x14ac:dyDescent="0.3">
      <c r="B6" s="6" t="s">
        <v>301</v>
      </c>
      <c r="C6" s="98"/>
      <c r="D6" s="95">
        <f>AVERAGE(D13:D17)</f>
        <v>2.8</v>
      </c>
      <c r="E6" s="104" t="str">
        <f>IF(D6&gt;=3.5,"Strongly agree",IF(D6&gt;=2.5,"agree",IF(D6&gt;=1.5,"unclear",IF(D6&gt;=0.5,"disagree","Strongly disagree"))))</f>
        <v>agree</v>
      </c>
      <c r="G6" s="78"/>
    </row>
    <row r="7" spans="1:7" ht="14" x14ac:dyDescent="0.3">
      <c r="B7" s="6" t="s">
        <v>302</v>
      </c>
      <c r="C7" s="98"/>
      <c r="D7" s="95">
        <f>AVERAGE(D25:D29)</f>
        <v>3.4</v>
      </c>
      <c r="E7" s="104" t="str">
        <f>IF(D7&gt;=3.5,"Strongly agree",IF(D7&gt;=2.5,"agree",IF(D7&gt;=1.5,"unclear",IF(D7&gt;=0.5,"disagree","Strongly disagree"))))</f>
        <v>agree</v>
      </c>
      <c r="G7" s="78"/>
    </row>
    <row r="8" spans="1:7" ht="14" x14ac:dyDescent="0.3">
      <c r="B8" s="6" t="s">
        <v>303</v>
      </c>
      <c r="C8" s="98"/>
      <c r="D8" s="102">
        <f>IF(E8="Strongly disagree",0,IF(E8="disagree",1,IF(E8="unclear",2,IF(E8="agree",3,4))))</f>
        <v>3</v>
      </c>
      <c r="E8" s="103" t="str">
        <f>IF(D65&gt;=3.5,"Strongly agree",IF(D65&gt;=2.5,"agree",IF(D65&gt;=1.5,"unclear",IF(D65&gt;=0.5,"disagree","Strongly disagree"))))</f>
        <v>agree</v>
      </c>
      <c r="G8" s="80"/>
    </row>
    <row r="9" spans="1:7" ht="14" x14ac:dyDescent="0.3">
      <c r="B9" s="99" t="s">
        <v>162</v>
      </c>
      <c r="C9" s="98"/>
      <c r="D9" s="95">
        <f>AVERAGE(D4:D8)</f>
        <v>3.04</v>
      </c>
      <c r="E9" s="100">
        <f>D9/4</f>
        <v>0.76</v>
      </c>
      <c r="G9" s="78"/>
    </row>
    <row r="10" spans="1:7" ht="14" x14ac:dyDescent="0.3">
      <c r="B10" s="98"/>
      <c r="C10" s="98"/>
      <c r="E10" s="6"/>
      <c r="G10" s="78"/>
    </row>
    <row r="11" spans="1:7" ht="15" customHeight="1" x14ac:dyDescent="0.3">
      <c r="A11" s="4"/>
      <c r="B11" s="11" t="s">
        <v>163</v>
      </c>
      <c r="C11" s="20"/>
      <c r="D11" s="20"/>
      <c r="E11" s="12"/>
      <c r="G11" s="298"/>
    </row>
    <row r="12" spans="1:7" ht="15" customHeight="1" x14ac:dyDescent="0.3">
      <c r="B12" s="101" t="s">
        <v>164</v>
      </c>
      <c r="C12" s="94"/>
      <c r="E12" s="6"/>
      <c r="G12" s="298"/>
    </row>
    <row r="13" spans="1:7" ht="15" customHeight="1" x14ac:dyDescent="0.3">
      <c r="B13" s="54" t="s">
        <v>305</v>
      </c>
      <c r="D13" s="102">
        <f>IF(E13="Strongly disagree",0,IF(E13="disagree",1,IF(E13="unclear",2,IF(E13="agree",3,4))))</f>
        <v>1</v>
      </c>
      <c r="E13" s="32" t="s">
        <v>168</v>
      </c>
      <c r="F13" s="6"/>
      <c r="G13" s="298" t="s">
        <v>306</v>
      </c>
    </row>
    <row r="14" spans="1:7" ht="15" customHeight="1" x14ac:dyDescent="0.3">
      <c r="B14" s="54" t="s">
        <v>165</v>
      </c>
      <c r="D14" s="102">
        <f>IF(E14="Strongly disagree",0,IF(E14="disagree",1,IF(E14="unclear",2,IF(E14="agree",3,4))))</f>
        <v>4</v>
      </c>
      <c r="E14" s="32" t="s">
        <v>170</v>
      </c>
      <c r="F14" s="6"/>
      <c r="G14" s="298"/>
    </row>
    <row r="15" spans="1:7" ht="15" customHeight="1" x14ac:dyDescent="0.3">
      <c r="B15" s="54" t="s">
        <v>166</v>
      </c>
      <c r="D15" s="102">
        <f>IF(E15="Strongly disagree",0,IF(E15="disagree",1,IF(E15="unclear",2,IF(E15="agree",3,4))))</f>
        <v>4</v>
      </c>
      <c r="E15" s="32" t="s">
        <v>170</v>
      </c>
      <c r="F15" s="6"/>
      <c r="G15" s="298"/>
    </row>
    <row r="16" spans="1:7" ht="15" customHeight="1" x14ac:dyDescent="0.3">
      <c r="B16" s="54" t="s">
        <v>167</v>
      </c>
      <c r="D16" s="102">
        <f>IF(E16="Strongly disagree",0,IF(E16="disagree",1,IF(E16="unclear",2,IF(E16="agree",3,4))))</f>
        <v>1</v>
      </c>
      <c r="E16" s="32" t="s">
        <v>168</v>
      </c>
      <c r="F16" s="6"/>
      <c r="G16" s="298"/>
    </row>
    <row r="17" spans="2:7" ht="15" customHeight="1" x14ac:dyDescent="0.3">
      <c r="B17" s="54" t="s">
        <v>169</v>
      </c>
      <c r="D17" s="102">
        <f>IF(E17="Strongly disagree",0,IF(E17="disagree",1,IF(E17="unclear",2,IF(E17="agree",3,4))))</f>
        <v>4</v>
      </c>
      <c r="E17" s="32" t="s">
        <v>170</v>
      </c>
      <c r="F17" s="6"/>
      <c r="G17" s="298"/>
    </row>
    <row r="18" spans="2:7" ht="15" customHeight="1" x14ac:dyDescent="0.3">
      <c r="B18" s="101" t="s">
        <v>171</v>
      </c>
      <c r="D18" s="39"/>
      <c r="E18" s="23"/>
      <c r="G18" s="298"/>
    </row>
    <row r="19" spans="2:7" ht="15" customHeight="1" x14ac:dyDescent="0.3">
      <c r="B19" s="54" t="s">
        <v>172</v>
      </c>
      <c r="D19" s="102">
        <f>IF(E19="Strongly disagree",0,IF(E19="disagree",1,IF(E19="unclear",2,IF(E19="agree",3,4))))</f>
        <v>4</v>
      </c>
      <c r="E19" s="50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9" s="6"/>
      <c r="G19" s="298"/>
    </row>
    <row r="20" spans="2:7" ht="15" customHeight="1" x14ac:dyDescent="0.3">
      <c r="B20" s="54" t="s">
        <v>173</v>
      </c>
      <c r="D20" s="102">
        <f t="shared" ref="D20:D23" si="1">IF(E20="Strongly disagree",0,IF(E20="disagree",1,IF(E20="unclear",2,IF(E20="agree",3,4))))</f>
        <v>4</v>
      </c>
      <c r="E20" s="32" t="s">
        <v>170</v>
      </c>
      <c r="F20" s="6"/>
      <c r="G20" s="298"/>
    </row>
    <row r="21" spans="2:7" ht="15" customHeight="1" x14ac:dyDescent="0.3">
      <c r="B21" s="54" t="s">
        <v>174</v>
      </c>
      <c r="D21" s="102">
        <f t="shared" si="1"/>
        <v>1</v>
      </c>
      <c r="E21" s="32" t="s">
        <v>168</v>
      </c>
      <c r="F21" s="6"/>
      <c r="G21" s="298"/>
    </row>
    <row r="22" spans="2:7" ht="15" customHeight="1" x14ac:dyDescent="0.3">
      <c r="B22" s="54" t="s">
        <v>175</v>
      </c>
      <c r="D22" s="102">
        <f t="shared" si="1"/>
        <v>3</v>
      </c>
      <c r="E22" s="32" t="s">
        <v>161</v>
      </c>
      <c r="F22" s="6"/>
      <c r="G22" s="298"/>
    </row>
    <row r="23" spans="2:7" ht="15" customHeight="1" x14ac:dyDescent="0.3">
      <c r="B23" s="54" t="s">
        <v>176</v>
      </c>
      <c r="D23" s="102">
        <f t="shared" si="1"/>
        <v>1</v>
      </c>
      <c r="E23" s="32" t="s">
        <v>168</v>
      </c>
      <c r="F23" s="6"/>
      <c r="G23" s="298"/>
    </row>
    <row r="24" spans="2:7" ht="15" customHeight="1" x14ac:dyDescent="0.3">
      <c r="B24" s="101" t="s">
        <v>177</v>
      </c>
      <c r="D24" s="39"/>
      <c r="E24" s="23"/>
      <c r="G24" s="298"/>
    </row>
    <row r="25" spans="2:7" ht="15" customHeight="1" x14ac:dyDescent="0.3">
      <c r="B25" s="54" t="s">
        <v>178</v>
      </c>
      <c r="D25" s="102">
        <f t="shared" ref="D25:D29" si="2">IF(E25="Strongly disagree",0,IF(E25="disagree",1,IF(E25="unclear",2,IF(E25="agree",3,4))))</f>
        <v>4</v>
      </c>
      <c r="E25" s="32" t="s">
        <v>170</v>
      </c>
      <c r="F25" s="6"/>
      <c r="G25" s="298"/>
    </row>
    <row r="26" spans="2:7" ht="15" customHeight="1" x14ac:dyDescent="0.3">
      <c r="B26" s="54" t="s">
        <v>179</v>
      </c>
      <c r="D26" s="102">
        <f t="shared" si="2"/>
        <v>3</v>
      </c>
      <c r="E26" s="32" t="s">
        <v>161</v>
      </c>
      <c r="F26" s="6"/>
      <c r="G26" s="298"/>
    </row>
    <row r="27" spans="2:7" ht="15" customHeight="1" x14ac:dyDescent="0.3">
      <c r="B27" s="54" t="s">
        <v>309</v>
      </c>
      <c r="D27" s="102">
        <f t="shared" si="2"/>
        <v>4</v>
      </c>
      <c r="E27" s="32" t="s">
        <v>170</v>
      </c>
      <c r="F27" s="6"/>
      <c r="G27" s="298"/>
    </row>
    <row r="28" spans="2:7" ht="15" customHeight="1" x14ac:dyDescent="0.3">
      <c r="B28" s="54" t="s">
        <v>310</v>
      </c>
      <c r="D28" s="102">
        <f t="shared" si="2"/>
        <v>3</v>
      </c>
      <c r="E28" s="32" t="s">
        <v>161</v>
      </c>
      <c r="F28" s="6"/>
      <c r="G28" s="298"/>
    </row>
    <row r="29" spans="2:7" ht="15" customHeight="1" x14ac:dyDescent="0.3">
      <c r="B29" s="54" t="s">
        <v>180</v>
      </c>
      <c r="D29" s="102">
        <f t="shared" si="2"/>
        <v>3</v>
      </c>
      <c r="E29" s="32" t="s">
        <v>161</v>
      </c>
      <c r="F29" s="6"/>
      <c r="G29" s="298"/>
    </row>
    <row r="30" spans="2:7" ht="15" customHeight="1" x14ac:dyDescent="0.3">
      <c r="B30" s="101" t="s">
        <v>181</v>
      </c>
      <c r="D30" s="39"/>
      <c r="E30" s="23"/>
      <c r="G30" s="298"/>
    </row>
    <row r="31" spans="2:7" ht="15" customHeight="1" x14ac:dyDescent="0.3">
      <c r="B31" s="1" t="s">
        <v>182</v>
      </c>
      <c r="D31" s="105">
        <f>SUM(D32:D36)/(5*4)</f>
        <v>0.55000000000000004</v>
      </c>
      <c r="E31" s="50" t="str">
        <f>IF(D31&gt;80%,"Very High",IF(D31&lt;=20%,"Very Low",IF(D31&lt;=40%,"Low",IF(D31&lt;=60%,"Medium","High"))))</f>
        <v>Medium</v>
      </c>
      <c r="F31" s="6"/>
      <c r="G31" s="298"/>
    </row>
    <row r="32" spans="2:7" ht="15" customHeight="1" x14ac:dyDescent="0.3">
      <c r="B32" s="54" t="s">
        <v>183</v>
      </c>
      <c r="D32" s="102">
        <f t="shared" ref="D32:D36" si="3">IF(E32="Strongly disagree",0,IF(E32="disagree",1,IF(E32="unclear",2,IF(E32="agree",3,4))))</f>
        <v>0</v>
      </c>
      <c r="E32" s="32" t="s">
        <v>184</v>
      </c>
      <c r="F32" s="6"/>
      <c r="G32" s="298"/>
    </row>
    <row r="33" spans="2:7" ht="15" customHeight="1" x14ac:dyDescent="0.3">
      <c r="B33" s="54" t="s">
        <v>311</v>
      </c>
      <c r="D33" s="102">
        <f t="shared" si="3"/>
        <v>4</v>
      </c>
      <c r="E33" s="32" t="s">
        <v>170</v>
      </c>
      <c r="F33" s="6"/>
      <c r="G33" s="298"/>
    </row>
    <row r="34" spans="2:7" ht="15" customHeight="1" x14ac:dyDescent="0.3">
      <c r="B34" s="54" t="s">
        <v>312</v>
      </c>
      <c r="D34" s="102">
        <f t="shared" si="3"/>
        <v>3</v>
      </c>
      <c r="E34" s="32" t="s">
        <v>161</v>
      </c>
      <c r="F34" s="6"/>
      <c r="G34" s="298"/>
    </row>
    <row r="35" spans="2:7" ht="15" customHeight="1" x14ac:dyDescent="0.3">
      <c r="B35" s="54" t="s">
        <v>313</v>
      </c>
      <c r="D35" s="102">
        <f t="shared" si="3"/>
        <v>1</v>
      </c>
      <c r="E35" s="32" t="s">
        <v>168</v>
      </c>
      <c r="F35" s="6"/>
      <c r="G35" s="298"/>
    </row>
    <row r="36" spans="2:7" ht="15" customHeight="1" x14ac:dyDescent="0.3">
      <c r="B36" s="54" t="s">
        <v>314</v>
      </c>
      <c r="D36" s="102">
        <f t="shared" si="3"/>
        <v>3</v>
      </c>
      <c r="E36" s="32" t="s">
        <v>161</v>
      </c>
      <c r="G36" s="298"/>
    </row>
    <row r="37" spans="2:7" ht="15" customHeight="1" x14ac:dyDescent="0.3">
      <c r="B37" s="1" t="s">
        <v>185</v>
      </c>
      <c r="D37" s="105">
        <f>SUM(D38:D42)/(5*4)</f>
        <v>0.2</v>
      </c>
      <c r="E37" s="50" t="str">
        <f>IF(D37&gt;80%,"Very High",IF(D37&lt;=20%,"Very Low",IF(D37&lt;=40%,"Low",IF(D37&lt;=60%,"Medium","High"))))</f>
        <v>Very Low</v>
      </c>
      <c r="F37" s="6"/>
      <c r="G37" s="298"/>
    </row>
    <row r="38" spans="2:7" ht="15" customHeight="1" x14ac:dyDescent="0.3">
      <c r="B38" s="54" t="s">
        <v>186</v>
      </c>
      <c r="D38" s="102">
        <f t="shared" ref="D38:D42" si="4">IF(E38="Strongly disagree",0,IF(E38="disagree",1,IF(E38="unclear",2,IF(E38="agree",3,4))))</f>
        <v>0</v>
      </c>
      <c r="E38" s="32" t="s">
        <v>184</v>
      </c>
      <c r="F38" s="6"/>
      <c r="G38" s="298"/>
    </row>
    <row r="39" spans="2:7" ht="15" customHeight="1" x14ac:dyDescent="0.3">
      <c r="B39" s="54" t="s">
        <v>315</v>
      </c>
      <c r="D39" s="102">
        <f t="shared" si="4"/>
        <v>0</v>
      </c>
      <c r="E39" s="32" t="s">
        <v>184</v>
      </c>
      <c r="F39" s="6"/>
      <c r="G39" s="298"/>
    </row>
    <row r="40" spans="2:7" ht="15" customHeight="1" x14ac:dyDescent="0.3">
      <c r="B40" s="54" t="s">
        <v>316</v>
      </c>
      <c r="D40" s="102">
        <f t="shared" si="4"/>
        <v>0</v>
      </c>
      <c r="E40" s="32" t="s">
        <v>184</v>
      </c>
      <c r="F40" s="6"/>
      <c r="G40" s="298"/>
    </row>
    <row r="41" spans="2:7" ht="15" customHeight="1" x14ac:dyDescent="0.3">
      <c r="B41" s="54" t="s">
        <v>317</v>
      </c>
      <c r="D41" s="102">
        <f t="shared" si="4"/>
        <v>4</v>
      </c>
      <c r="E41" s="32" t="s">
        <v>170</v>
      </c>
      <c r="F41" s="6"/>
      <c r="G41" s="298"/>
    </row>
    <row r="42" spans="2:7" ht="15" customHeight="1" x14ac:dyDescent="0.3">
      <c r="B42" s="54" t="s">
        <v>318</v>
      </c>
      <c r="D42" s="102">
        <f t="shared" si="4"/>
        <v>0</v>
      </c>
      <c r="E42" s="32" t="s">
        <v>184</v>
      </c>
      <c r="G42" s="298"/>
    </row>
    <row r="43" spans="2:7" ht="15" customHeight="1" x14ac:dyDescent="0.3">
      <c r="B43" s="1" t="s">
        <v>187</v>
      </c>
      <c r="D43" s="105">
        <f>SUM(D44:D49)/(6*4)</f>
        <v>0.25</v>
      </c>
      <c r="E43" s="50" t="str">
        <f>IF(D43&gt;80%,"Very High",IF(D43&lt;=20%,"Very Low",IF(D43&lt;=40%,"Low",IF(D43&lt;=60%,"Medium","High"))))</f>
        <v>Low</v>
      </c>
      <c r="F43" s="6"/>
      <c r="G43" s="298"/>
    </row>
    <row r="44" spans="2:7" ht="15" customHeight="1" x14ac:dyDescent="0.3">
      <c r="B44" s="54" t="s">
        <v>188</v>
      </c>
      <c r="D44" s="102">
        <f t="shared" ref="D44:D49" si="5">IF(E44="Strongly disagree",0,IF(E44="disagree",1,IF(E44="unclear",2,IF(E44="agree",3,4))))</f>
        <v>0</v>
      </c>
      <c r="E44" s="32" t="s">
        <v>184</v>
      </c>
      <c r="F44" s="6"/>
      <c r="G44" s="298"/>
    </row>
    <row r="45" spans="2:7" ht="15" customHeight="1" x14ac:dyDescent="0.3">
      <c r="B45" s="54" t="s">
        <v>189</v>
      </c>
      <c r="D45" s="102">
        <f t="shared" si="5"/>
        <v>1</v>
      </c>
      <c r="E45" s="32" t="s">
        <v>168</v>
      </c>
      <c r="F45" s="6"/>
      <c r="G45" s="298"/>
    </row>
    <row r="46" spans="2:7" ht="15" customHeight="1" x14ac:dyDescent="0.3">
      <c r="B46" s="54" t="s">
        <v>190</v>
      </c>
      <c r="D46" s="102">
        <f t="shared" si="5"/>
        <v>4</v>
      </c>
      <c r="E46" s="32" t="s">
        <v>170</v>
      </c>
      <c r="F46" s="6"/>
      <c r="G46" s="298"/>
    </row>
    <row r="47" spans="2:7" ht="15" customHeight="1" x14ac:dyDescent="0.3">
      <c r="B47" s="54" t="s">
        <v>191</v>
      </c>
      <c r="D47" s="102">
        <f t="shared" si="5"/>
        <v>0</v>
      </c>
      <c r="E47" s="32" t="s">
        <v>184</v>
      </c>
      <c r="F47" s="6"/>
      <c r="G47" s="298"/>
    </row>
    <row r="48" spans="2:7" ht="15" customHeight="1" x14ac:dyDescent="0.3">
      <c r="B48" s="54" t="s">
        <v>192</v>
      </c>
      <c r="D48" s="102">
        <f t="shared" si="5"/>
        <v>0</v>
      </c>
      <c r="E48" s="32" t="s">
        <v>184</v>
      </c>
      <c r="F48" s="6"/>
      <c r="G48" s="298"/>
    </row>
    <row r="49" spans="2:8" ht="15" customHeight="1" x14ac:dyDescent="0.3">
      <c r="B49" s="54" t="s">
        <v>218</v>
      </c>
      <c r="D49" s="102">
        <f t="shared" si="5"/>
        <v>1</v>
      </c>
      <c r="E49" s="32" t="s">
        <v>168</v>
      </c>
      <c r="F49" s="6"/>
      <c r="G49" s="298"/>
    </row>
    <row r="50" spans="2:8" ht="15" customHeight="1" x14ac:dyDescent="0.3">
      <c r="B50" s="1" t="s">
        <v>193</v>
      </c>
      <c r="D50" s="105">
        <f>SUM(D51:D55)/(5*4)</f>
        <v>0.55510204081632653</v>
      </c>
      <c r="E50" s="50" t="str">
        <f>IF(D50&gt;80%,"Very High",IF(D50&lt;=20%,"Very Low",IF(D50&lt;=40%,"Low",IF(D50&lt;=60%,"Medium","High"))))</f>
        <v>Medium</v>
      </c>
      <c r="F50" s="6"/>
      <c r="G50" s="298"/>
    </row>
    <row r="51" spans="2:8" ht="15" customHeight="1" x14ac:dyDescent="0.3">
      <c r="B51" s="54" t="s">
        <v>194</v>
      </c>
      <c r="D51" s="102">
        <f t="shared" ref="D51:D53" si="6">IF(E51="Strongly disagree",0,IF(E51="disagree",1,IF(E51="unclear",2,IF(E51="agree",3,4))))</f>
        <v>2</v>
      </c>
      <c r="E51" s="32" t="s">
        <v>160</v>
      </c>
      <c r="G51" s="298"/>
    </row>
    <row r="52" spans="2:8" ht="15" customHeight="1" x14ac:dyDescent="0.3">
      <c r="B52" s="54" t="s">
        <v>195</v>
      </c>
      <c r="D52" s="102">
        <f t="shared" si="6"/>
        <v>0</v>
      </c>
      <c r="E52" s="32" t="s">
        <v>184</v>
      </c>
      <c r="F52" s="6"/>
      <c r="G52" s="298"/>
    </row>
    <row r="53" spans="2:8" ht="15" customHeight="1" x14ac:dyDescent="0.3">
      <c r="B53" s="54" t="s">
        <v>319</v>
      </c>
      <c r="D53" s="102">
        <f t="shared" si="6"/>
        <v>2</v>
      </c>
      <c r="E53" s="32" t="s">
        <v>160</v>
      </c>
      <c r="G53" s="298"/>
    </row>
    <row r="54" spans="2:8" ht="15" customHeight="1" x14ac:dyDescent="0.3">
      <c r="B54" s="54" t="s">
        <v>320</v>
      </c>
      <c r="D54" s="102">
        <f>IF(E54="Strongly disagree",0,IF(E54="disagree",1,IF(E54="unclear",2,IF(E54="agree",3,4))))</f>
        <v>4</v>
      </c>
      <c r="E54" s="32" t="s">
        <v>170</v>
      </c>
      <c r="F54" s="54"/>
      <c r="G54" s="298"/>
      <c r="H54" s="54"/>
    </row>
    <row r="55" spans="2:8" ht="15" customHeight="1" x14ac:dyDescent="0.3">
      <c r="B55" s="54" t="s">
        <v>321</v>
      </c>
      <c r="D55" s="106">
        <f t="array" ref="D55">(1-INDEX(B69:E78,MATCH(E55,B69:B78,0),4))*4</f>
        <v>3.1020408163265305</v>
      </c>
      <c r="E55" s="32" t="s">
        <v>286</v>
      </c>
      <c r="F55" s="54"/>
      <c r="G55" s="298"/>
      <c r="H55" s="54"/>
    </row>
    <row r="56" spans="2:8" ht="15" customHeight="1" x14ac:dyDescent="0.3">
      <c r="B56" s="1" t="s">
        <v>196</v>
      </c>
      <c r="D56" s="107">
        <f>SUM(D57:D62)/(6*4)</f>
        <v>0.70833333333333337</v>
      </c>
      <c r="E56" s="50" t="str">
        <f>IF(D56&gt;80%,"Very High",IF(D56&lt;=20%,"Very Low",IF(D56&lt;=40%,"Low",IF(D56&lt;=60%,"Medium","High"))))</f>
        <v>High</v>
      </c>
      <c r="F56" s="54"/>
      <c r="G56" s="298"/>
      <c r="H56" s="54"/>
    </row>
    <row r="57" spans="2:8" ht="15" customHeight="1" x14ac:dyDescent="0.3">
      <c r="B57" s="54" t="s">
        <v>197</v>
      </c>
      <c r="D57" s="102">
        <f t="shared" ref="D57:D61" si="7">IF(E57="Strongly disagree",0,IF(E57="disagree",1,IF(E57="unclear",2,IF(E57="agree",3,4))))</f>
        <v>3</v>
      </c>
      <c r="E57" s="32" t="s">
        <v>161</v>
      </c>
      <c r="F57" s="54"/>
      <c r="G57" s="298"/>
      <c r="H57" s="54"/>
    </row>
    <row r="58" spans="2:8" ht="15" customHeight="1" x14ac:dyDescent="0.3">
      <c r="B58" s="54" t="s">
        <v>198</v>
      </c>
      <c r="D58" s="102">
        <f t="shared" si="7"/>
        <v>2</v>
      </c>
      <c r="E58" s="32" t="s">
        <v>160</v>
      </c>
      <c r="F58" s="54"/>
      <c r="G58" s="298"/>
      <c r="H58" s="54"/>
    </row>
    <row r="59" spans="2:8" ht="15" customHeight="1" x14ac:dyDescent="0.3">
      <c r="B59" s="54" t="s">
        <v>219</v>
      </c>
      <c r="D59" s="102">
        <f t="shared" si="7"/>
        <v>2</v>
      </c>
      <c r="E59" s="32" t="s">
        <v>160</v>
      </c>
      <c r="F59" s="54"/>
      <c r="G59" s="298"/>
      <c r="H59" s="54"/>
    </row>
    <row r="60" spans="2:8" ht="15" customHeight="1" x14ac:dyDescent="0.3">
      <c r="B60" s="54" t="s">
        <v>220</v>
      </c>
      <c r="D60" s="102">
        <f t="shared" si="7"/>
        <v>4</v>
      </c>
      <c r="E60" s="32" t="s">
        <v>170</v>
      </c>
      <c r="F60" s="54"/>
      <c r="G60" s="298"/>
      <c r="H60" s="54"/>
    </row>
    <row r="61" spans="2:8" ht="15" customHeight="1" x14ac:dyDescent="0.3">
      <c r="B61" s="54" t="s">
        <v>221</v>
      </c>
      <c r="D61" s="102">
        <f t="shared" si="7"/>
        <v>4</v>
      </c>
      <c r="E61" s="32" t="s">
        <v>170</v>
      </c>
      <c r="F61" s="54"/>
      <c r="G61" s="298"/>
      <c r="H61" s="54"/>
    </row>
    <row r="62" spans="2:8" ht="15" customHeight="1" x14ac:dyDescent="0.3">
      <c r="B62" s="54" t="s">
        <v>222</v>
      </c>
      <c r="D62" s="102">
        <f>IF(E62="Strongly disagree",0,IF(E62="disagree",1,IF(E62="non-perishable",2,IF(E62="agree",3,4))))</f>
        <v>2</v>
      </c>
      <c r="E62" s="32" t="s">
        <v>287</v>
      </c>
      <c r="F62" s="54"/>
      <c r="G62" s="298"/>
      <c r="H62" s="54"/>
    </row>
    <row r="63" spans="2:8" ht="15" customHeight="1" x14ac:dyDescent="0.3">
      <c r="B63" s="148" t="s">
        <v>199</v>
      </c>
      <c r="D63" s="128">
        <f>1-AVERAGE(D31,D37,D43,D50,D56)</f>
        <v>0.54731292517006802</v>
      </c>
      <c r="E63" s="50" t="str">
        <f>IF(D63&gt;80%,"Very Low",IF(D63&lt;=20%,"Very High",IF(D63&lt;=40%,"High",IF(D63&lt;=60%,"Medium","Low"))))</f>
        <v>Medium</v>
      </c>
      <c r="F63" s="54"/>
      <c r="G63" s="298"/>
      <c r="H63" s="54"/>
    </row>
    <row r="64" spans="2:8" ht="15" customHeight="1" x14ac:dyDescent="0.3">
      <c r="D64" s="6"/>
      <c r="G64" s="298"/>
    </row>
    <row r="65" spans="2:7" ht="15" customHeight="1" x14ac:dyDescent="0.3">
      <c r="B65" s="99" t="s">
        <v>200</v>
      </c>
      <c r="D65" s="95">
        <f>E65*4</f>
        <v>2.7473129251700681</v>
      </c>
      <c r="E65" s="127">
        <f>AVERAGE(AVERAGE(D13:D17)/4,AVERAGE(D19:D23)/4,AVERAGE(D25:D29)/4,D63)</f>
        <v>0.68682823129251702</v>
      </c>
      <c r="G65" s="298"/>
    </row>
    <row r="66" spans="2:7" ht="15" customHeight="1" x14ac:dyDescent="0.3">
      <c r="G66" s="299"/>
    </row>
    <row r="67" spans="2:7" ht="15" customHeight="1" x14ac:dyDescent="0.3">
      <c r="B67" s="55" t="s">
        <v>201</v>
      </c>
      <c r="C67" s="7"/>
      <c r="D67" s="7"/>
      <c r="E67" s="56"/>
    </row>
    <row r="68" spans="2:7" ht="15" customHeight="1" x14ac:dyDescent="0.3">
      <c r="B68" s="108" t="s">
        <v>202</v>
      </c>
      <c r="C68" s="109"/>
      <c r="D68" s="109"/>
      <c r="E68" s="110"/>
    </row>
    <row r="69" spans="2:7" ht="15" customHeight="1" x14ac:dyDescent="0.3">
      <c r="B69" s="111" t="s">
        <v>203</v>
      </c>
      <c r="C69" s="109"/>
      <c r="D69" s="109">
        <v>1</v>
      </c>
      <c r="E69" s="112">
        <f t="shared" ref="E69:E77" si="8">D69/MAX($D$69:$D$78)</f>
        <v>3.4013605442176874E-2</v>
      </c>
    </row>
    <row r="70" spans="2:7" ht="15" customHeight="1" x14ac:dyDescent="0.3">
      <c r="B70" s="111" t="str">
        <f t="shared" ref="B70:B78" si="9">C70&amp;", "&amp;D70&amp;"y"</f>
        <v>Information Technology Like, 6.6y</v>
      </c>
      <c r="C70" s="109" t="s">
        <v>204</v>
      </c>
      <c r="D70" s="109">
        <v>6.6</v>
      </c>
      <c r="E70" s="112">
        <f t="shared" si="8"/>
        <v>0.22448979591836735</v>
      </c>
    </row>
    <row r="71" spans="2:7" ht="15" customHeight="1" x14ac:dyDescent="0.3">
      <c r="B71" s="111" t="str">
        <f t="shared" si="9"/>
        <v>Healthcare, 11.4y</v>
      </c>
      <c r="C71" s="109" t="s">
        <v>205</v>
      </c>
      <c r="D71" s="109">
        <v>11.4</v>
      </c>
      <c r="E71" s="112">
        <f t="shared" si="8"/>
        <v>0.38775510204081637</v>
      </c>
    </row>
    <row r="72" spans="2:7" ht="15" customHeight="1" x14ac:dyDescent="0.3">
      <c r="B72" s="111" t="str">
        <f t="shared" si="9"/>
        <v>Consumer Discretionary, 12.4y</v>
      </c>
      <c r="C72" s="109" t="s">
        <v>206</v>
      </c>
      <c r="D72" s="109">
        <v>12.4</v>
      </c>
      <c r="E72" s="112">
        <f t="shared" si="8"/>
        <v>0.42176870748299322</v>
      </c>
    </row>
    <row r="73" spans="2:7" ht="15" customHeight="1" x14ac:dyDescent="0.3">
      <c r="B73" s="111" t="str">
        <f t="shared" si="9"/>
        <v>Consumer Staples, 15.1y</v>
      </c>
      <c r="C73" s="109" t="s">
        <v>207</v>
      </c>
      <c r="D73" s="109">
        <v>15.1</v>
      </c>
      <c r="E73" s="112">
        <f t="shared" si="8"/>
        <v>0.51360544217687076</v>
      </c>
    </row>
    <row r="74" spans="2:7" ht="15" customHeight="1" x14ac:dyDescent="0.3">
      <c r="B74" s="111" t="str">
        <f t="shared" si="9"/>
        <v>Industrials, 15.4y</v>
      </c>
      <c r="C74" s="109" t="s">
        <v>208</v>
      </c>
      <c r="D74" s="109">
        <v>15.4</v>
      </c>
      <c r="E74" s="112">
        <f t="shared" si="8"/>
        <v>0.52380952380952384</v>
      </c>
    </row>
    <row r="75" spans="2:7" ht="15" customHeight="1" x14ac:dyDescent="0.3">
      <c r="B75" s="111" t="str">
        <f t="shared" si="9"/>
        <v>Telecommunication Services, 16.1y</v>
      </c>
      <c r="C75" s="109" t="s">
        <v>209</v>
      </c>
      <c r="D75" s="109">
        <v>16.100000000000001</v>
      </c>
      <c r="E75" s="112">
        <f t="shared" si="8"/>
        <v>0.54761904761904767</v>
      </c>
    </row>
    <row r="76" spans="2:7" ht="15" customHeight="1" x14ac:dyDescent="0.3">
      <c r="B76" s="111" t="str">
        <f t="shared" si="9"/>
        <v>Energy, 17.6y</v>
      </c>
      <c r="C76" s="109" t="s">
        <v>210</v>
      </c>
      <c r="D76" s="109">
        <v>17.600000000000001</v>
      </c>
      <c r="E76" s="112">
        <f t="shared" si="8"/>
        <v>0.59863945578231303</v>
      </c>
    </row>
    <row r="77" spans="2:7" ht="15" customHeight="1" x14ac:dyDescent="0.3">
      <c r="B77" s="111" t="str">
        <f t="shared" si="9"/>
        <v>Materials, 18.6y</v>
      </c>
      <c r="C77" s="109" t="s">
        <v>211</v>
      </c>
      <c r="D77" s="109">
        <v>18.600000000000001</v>
      </c>
      <c r="E77" s="112">
        <f t="shared" si="8"/>
        <v>0.63265306122448983</v>
      </c>
    </row>
    <row r="78" spans="2:7" ht="15" customHeight="1" x14ac:dyDescent="0.3">
      <c r="B78" s="113" t="str">
        <f t="shared" si="9"/>
        <v>Utilities, 29.4y</v>
      </c>
      <c r="C78" s="114" t="s">
        <v>212</v>
      </c>
      <c r="D78" s="114">
        <v>29.4</v>
      </c>
      <c r="E78" s="115">
        <f>D78/MAX($D$70:$D$78)</f>
        <v>1</v>
      </c>
    </row>
  </sheetData>
  <dataConsolidate/>
  <dataValidations count="6">
    <dataValidation type="list" allowBlank="1" sqref="E31 E37 E43 E50 E56" xr:uid="{00000000-0002-0000-0400-000003000000}">
      <formula1>"Very High,High,Medium,Low,Very Low"</formula1>
    </dataValidation>
    <dataValidation type="list" allowBlank="1" sqref="E57:E61 E20:E23 E25:E29 E13:E17 E44:E49 E4:E9 E32:E36 E38:E42 E51:E54" xr:uid="{00000000-0002-0000-0400-000005000000}">
      <formula1>"Strongly agree,agree,unclear,disagree,Strongly disagree"</formula1>
    </dataValidation>
    <dataValidation type="list" allowBlank="1" sqref="E62" xr:uid="{00000000-0002-0000-0400-000009000000}">
      <formula1>"Strongly agree,agree,non-perishable,disagree,Strongly disagree"</formula1>
    </dataValidation>
    <dataValidation allowBlank="1" sqref="E8" xr:uid="{FBCCA791-86B6-4660-95B3-845402529B68}"/>
    <dataValidation type="list" allowBlank="1" showInputMessage="1" showErrorMessage="1" sqref="E55" xr:uid="{B3C242EB-7F6A-4B7F-83D0-5CE118336997}">
      <formula1>B69:B78</formula1>
    </dataValidation>
    <dataValidation type="list" allowBlank="1" sqref="E55" xr:uid="{169E40E7-6BB6-45A2-B725-216376F63A8D}">
      <formula1>$B$69:$B$78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2023-03-01T03:38:22Z</dcterms:modified>
  <cp:category/>
  <cp:contentStatus/>
</cp:coreProperties>
</file>