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E2F022FF-AFA8-4195-89B0-35F4059A370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7" i="1" l="1"/>
  <c r="G13" i="7"/>
  <c r="G14" i="7"/>
  <c r="G10" i="7"/>
  <c r="G8" i="7"/>
  <c r="F38" i="2"/>
  <c r="G38" i="2"/>
  <c r="H38" i="2"/>
  <c r="I38" i="2"/>
  <c r="J38" i="2"/>
  <c r="K38" i="2"/>
  <c r="L38" i="2"/>
  <c r="M38" i="2"/>
  <c r="F37" i="2"/>
  <c r="G37" i="2"/>
  <c r="H37" i="2"/>
  <c r="I37" i="2"/>
  <c r="J37" i="2"/>
  <c r="K37" i="2"/>
  <c r="L37" i="2"/>
  <c r="M37" i="2"/>
  <c r="F36" i="2"/>
  <c r="G36" i="2"/>
  <c r="H36" i="2"/>
  <c r="I36" i="2"/>
  <c r="J36" i="2"/>
  <c r="K36" i="2"/>
  <c r="L36" i="2"/>
  <c r="M36" i="2"/>
  <c r="E33" i="2"/>
  <c r="E36" i="2" s="1"/>
  <c r="D33" i="2"/>
  <c r="D36" i="2" s="1"/>
  <c r="C33" i="2"/>
  <c r="C36" i="2" s="1"/>
  <c r="D11" i="2"/>
  <c r="C11" i="2"/>
  <c r="G22" i="7"/>
  <c r="G45" i="4"/>
  <c r="C34" i="3"/>
  <c r="C38" i="3"/>
  <c r="C14" i="3"/>
  <c r="C17" i="3"/>
  <c r="C37" i="2" l="1"/>
  <c r="F23" i="7"/>
  <c r="E37" i="2"/>
  <c r="D37" i="2"/>
  <c r="I19" i="7"/>
  <c r="H19" i="7"/>
  <c r="F35" i="2"/>
  <c r="G35" i="2"/>
  <c r="H35" i="2"/>
  <c r="I35" i="2"/>
  <c r="J35" i="2"/>
  <c r="K35" i="2"/>
  <c r="L35" i="2"/>
  <c r="M35" i="2"/>
  <c r="G23" i="7" l="1"/>
  <c r="F10" i="7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F4" i="4"/>
  <c r="F5" i="4" s="1"/>
  <c r="B5" i="4"/>
  <c r="G33" i="2"/>
  <c r="H33" i="2"/>
  <c r="I33" i="2"/>
  <c r="J33" i="2"/>
  <c r="K33" i="2"/>
  <c r="L33" i="2"/>
  <c r="M33" i="2"/>
  <c r="D61" i="2"/>
  <c r="E61" i="2"/>
  <c r="B8" i="4"/>
  <c r="B12" i="4" s="1"/>
  <c r="J10" i="1"/>
  <c r="E5" i="1"/>
  <c r="F47" i="8" l="1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D8" i="2"/>
  <c r="D35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9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55" i="2"/>
  <c r="G55" i="2"/>
  <c r="D16" i="2"/>
  <c r="D38" i="2" s="1"/>
  <c r="I16" i="2"/>
  <c r="C16" i="2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F21" i="7"/>
  <c r="F24" i="7" s="1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C17" i="2" l="1"/>
  <c r="C38" i="2"/>
  <c r="C7" i="4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0" i="7"/>
  <c r="F19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5" i="7"/>
  <c r="I23" i="7"/>
  <c r="C4" i="4"/>
  <c r="F26" i="7"/>
  <c r="C55" i="2"/>
  <c r="G17" i="7"/>
  <c r="D44" i="3"/>
  <c r="D45" i="3"/>
  <c r="G15" i="4"/>
  <c r="J27" i="3"/>
  <c r="D25" i="3"/>
  <c r="C6" i="4" l="1"/>
  <c r="D6" i="3"/>
  <c r="D7" i="3" s="1"/>
  <c r="G16" i="7"/>
  <c r="G15" i="7"/>
  <c r="G24" i="7" s="1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6" i="7"/>
  <c r="D8" i="4"/>
  <c r="D28" i="4" s="1"/>
  <c r="E6" i="3"/>
  <c r="E17" i="4" l="1"/>
  <c r="D33" i="4"/>
  <c r="D34" i="4" s="1"/>
  <c r="D9" i="4"/>
  <c r="H10" i="7"/>
  <c r="H3" i="7"/>
  <c r="E3" i="4" l="1"/>
  <c r="E27" i="4" s="1"/>
  <c r="F45" i="4"/>
  <c r="E45" i="4"/>
  <c r="H12" i="7"/>
  <c r="H17" i="7" s="1"/>
  <c r="I16" i="7" l="1"/>
  <c r="I3" i="7" s="1"/>
  <c r="E2" i="7" s="1"/>
  <c r="H18" i="7"/>
  <c r="H16" i="7"/>
  <c r="H15" i="7"/>
  <c r="H24" i="7" s="1"/>
  <c r="F10" i="4" l="1"/>
  <c r="G34" i="4"/>
  <c r="D10" i="4"/>
  <c r="F3" i="4"/>
  <c r="G4" i="4" s="1"/>
  <c r="B21" i="4" s="1"/>
  <c r="G2" i="4" s="1"/>
  <c r="G26" i="4" s="1"/>
  <c r="E31" i="4"/>
  <c r="I18" i="7"/>
  <c r="H20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0" i="7"/>
  <c r="I26" i="7" s="1"/>
  <c r="D12" i="4" l="1"/>
  <c r="D38" i="4"/>
  <c r="E5" i="4"/>
  <c r="H26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G47" i="4" s="1"/>
  <c r="C46" i="4"/>
  <c r="G46" i="4" s="1"/>
  <c r="E44" i="4"/>
  <c r="F44" i="4"/>
  <c r="E14" i="1"/>
  <c r="F47" i="4" l="1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<sst xmlns="http://schemas.openxmlformats.org/spreadsheetml/2006/main" count="481" uniqueCount="414">
  <si>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</si>
  <si>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</si>
  <si>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</si>
  <si>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</si>
  <si>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</si>
  <si>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</si>
  <si>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</si>
  <si>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</si>
  <si>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</si>
  <si>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</si>
  <si>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</si>
  <si>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</si>
  <si>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</si>
  <si>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</si>
  <si>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</si>
  <si>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</si>
  <si>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</si>
  <si>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</si>
  <si>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</si>
  <si>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</si>
  <si>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</si>
  <si>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</si>
  <si>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</si>
  <si>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</si>
  <si>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</si>
  <si>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</si>
  <si>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</si>
  <si>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</si>
  <si>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</si>
  <si>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</si>
  <si>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</si>
  <si>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</si>
  <si>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</si>
  <si>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</si>
  <si>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</si>
  <si>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</si>
  <si>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</si>
  <si>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</si>
  <si>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</si>
  <si>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</si>
  <si>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</si>
  <si>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</si>
  <si>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</si>
  <si>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</si>
  <si>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</si>
  <si>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</si>
  <si>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</si>
  <si>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</si>
  <si>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</si>
  <si>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</si>
  <si>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</si>
  <si>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</si>
  <si>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</si>
  <si>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</si>
  <si>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</si>
  <si>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</si>
  <si>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</si>
  <si>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</si>
  <si>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</si>
  <si>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</si>
  <si>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</si>
  <si>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</si>
  <si>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</si>
  <si>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</si>
  <si>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</si>
  <si>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</si>
  <si>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</si>
  <si>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</si>
  <si>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</si>
  <si>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</si>
  <si>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</si>
  <si>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</si>
  <si>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</si>
  <si>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</si>
  <si>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</si>
  <si>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</si>
  <si>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</si>
  <si>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</si>
  <si>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</si>
  <si>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</si>
  <si>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</si>
  <si>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</si>
  <si>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</si>
  <si>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</si>
  <si>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</si>
  <si>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</si>
  <si>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</si>
  <si>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</si>
  <si>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</si>
  <si>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</si>
  <si>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</si>
  <si>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</si>
  <si>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</si>
  <si>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</si>
  <si>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</si>
  <si>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</si>
  <si>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</si>
  <si>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</si>
  <si>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</si>
  <si>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</si>
  <si>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</si>
  <si>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</si>
  <si>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</si>
  <si>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</si>
  <si>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</si>
  <si>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</si>
  <si>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</si>
  <si>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</si>
  <si>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</si>
  <si>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</si>
  <si>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</si>
  <si>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</si>
  <si>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</si>
  <si>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</si>
  <si>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</si>
  <si>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</si>
  <si>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</si>
  <si>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</si>
  <si>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</si>
  <si>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</si>
  <si>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</si>
  <si>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</si>
  <si>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</si>
  <si>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</si>
  <si>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</si>
  <si>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</si>
  <si>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</si>
  <si>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</si>
  <si>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</si>
  <si>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</si>
  <si>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</si>
  <si>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</si>
  <si>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</si>
  <si>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</si>
  <si>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</si>
  <si>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</si>
  <si>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</si>
  <si>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</si>
  <si>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</si>
  <si>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</si>
  <si>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</si>
  <si>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</si>
  <si>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</si>
  <si>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</si>
  <si>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</si>
  <si>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</si>
  <si>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</si>
  <si>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</si>
  <si>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</si>
  <si>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</si>
  <si>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</si>
  <si>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</si>
  <si>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</si>
  <si>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</si>
  <si>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</si>
  <si>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</si>
  <si>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</si>
  <si>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</si>
  <si>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</si>
  <si>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</si>
  <si>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</si>
  <si>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</si>
  <si>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</si>
  <si>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</si>
  <si>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</si>
  <si>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</si>
  <si>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</si>
  <si>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</si>
  <si>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</si>
  <si>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</si>
  <si>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</si>
  <si>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</si>
  <si>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</si>
  <si>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</si>
  <si>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</si>
  <si>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</si>
  <si>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</si>
  <si>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</si>
  <si>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</si>
  <si>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</si>
  <si>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</si>
  <si>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</si>
  <si>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</si>
  <si>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</si>
  <si>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</si>
  <si>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</si>
  <si>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</si>
  <si>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</si>
  <si>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</si>
  <si>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</si>
  <si>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</si>
  <si>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</si>
  <si>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</si>
  <si>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</si>
  <si>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</si>
  <si>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</si>
  <si>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</si>
  <si>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</si>
  <si>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</si>
  <si>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</si>
  <si>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</si>
  <si>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</si>
  <si>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</si>
  <si>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</si>
  <si>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</si>
  <si>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</si>
  <si>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</si>
  <si>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</si>
  <si>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</si>
  <si>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</si>
  <si>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</si>
  <si>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</si>
  <si>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</si>
  <si>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</si>
  <si>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</si>
  <si>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</si>
  <si>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</si>
  <si>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</si>
  <si>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</si>
  <si>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</si>
  <si>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</si>
  <si>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</si>
  <si>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</si>
  <si>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</si>
  <si>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</si>
  <si>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</si>
  <si>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</si>
  <si>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</si>
  <si>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</si>
  <si>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</si>
  <si>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</si>
  <si>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</si>
  <si>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</si>
  <si>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</si>
  <si>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</si>
  <si>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</si>
  <si>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</si>
  <si>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</si>
  <si>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</si>
  <si>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</si>
  <si>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</si>
  <si>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</si>
  <si>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</si>
  <si>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</si>
  <si>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</si>
  <si>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</si>
  <si>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</si>
  <si>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</si>
  <si>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</si>
  <si>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</si>
  <si>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</si>
  <si>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</si>
  <si>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</si>
  <si>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</si>
  <si>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</si>
  <si>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</si>
  <si>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</si>
  <si>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</si>
  <si>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</si>
  <si>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</si>
  <si>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</si>
  <si>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</si>
  <si>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</si>
  <si>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</si>
  <si>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</si>
  <si>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</si>
  <si>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</si>
  <si>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</si>
  <si>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</si>
  <si>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</si>
  <si>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</si>
  <si>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</si>
  <si>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</si>
  <si>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</si>
  <si>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</si>
  <si>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</si>
  <si>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</si>
  <si>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</si>
  <si>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</si>
  <si>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</si>
  <si>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</si>
  <si>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</si>
  <si>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</si>
  <si>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</si>
  <si>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</si>
  <si>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</si>
  <si>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</si>
  <si>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</si>
  <si>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</si>
  <si>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</si>
  <si>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</si>
  <si>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</si>
  <si>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</si>
  <si>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</si>
  <si>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</si>
  <si>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</si>
  <si>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</si>
  <si>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</si>
  <si>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</si>
  <si>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</si>
  <si>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</si>
  <si>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</si>
  <si>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</si>
  <si>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</si>
  <si>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</si>
  <si>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</si>
  <si>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</si>
  <si>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</si>
  <si>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</si>
  <si>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</si>
  <si>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</si>
  <si>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</si>
  <si>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</si>
  <si>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</si>
  <si>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</si>
  <si>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</si>
  <si>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</si>
  <si>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</si>
  <si>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</si>
  <si>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</si>
  <si>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</si>
  <si>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</si>
  <si>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</si>
  <si>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</si>
  <si>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</si>
  <si>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</si>
  <si>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</si>
  <si>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</si>
  <si>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</si>
  <si>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</si>
  <si>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</si>
  <si>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</si>
  <si>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</si>
  <si>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</si>
  <si>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</si>
  <si>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</si>
  <si>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Despite a cylical one</t>
  </si>
  <si>
    <t>WCInv</t>
  </si>
  <si>
    <t>R&amp;D</t>
  </si>
  <si>
    <t>Reinvestment =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</si>
  <si>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</si>
  <si>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</si>
  <si>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</si>
  <si>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</si>
  <si>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</si>
  <si>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</si>
  <si>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</si>
  <si>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</si>
  <si>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</si>
  <si>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</si>
  <si>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</si>
  <si>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</si>
  <si>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</si>
  <si>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</si>
  <si>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</si>
  <si>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</si>
  <si>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</si>
  <si>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</si>
  <si>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</si>
  <si>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</si>
  <si>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</si>
  <si>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</si>
  <si>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</si>
  <si>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</si>
  <si>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</si>
  <si>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</si>
  <si>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</si>
  <si>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</si>
  <si>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</si>
  <si>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</si>
  <si>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</si>
  <si>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</si>
  <si>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</si>
  <si>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</si>
  <si>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</si>
  <si>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</si>
  <si>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</si>
  <si>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</si>
  <si>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</si>
  <si>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</si>
  <si>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</si>
  <si>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</si>
  <si>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</si>
  <si>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</si>
  <si>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</si>
  <si>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</si>
  <si>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</si>
  <si>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</si>
  <si>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</si>
  <si>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</si>
  <si>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</si>
  <si>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</si>
  <si>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</si>
  <si>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</si>
  <si>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9959.HK</t>
  </si>
  <si>
    <t>LINKLOGIS-W</t>
  </si>
  <si>
    <t>CNY</t>
  </si>
  <si>
    <t>中国供应链金融科技解决方案提供商中排名第一</t>
  </si>
  <si>
    <t>核心企业云(保理业务)</t>
  </si>
  <si>
    <t>金融机构云(资产证券化业务)</t>
  </si>
  <si>
    <t>跨境云(保理业务)</t>
  </si>
  <si>
    <t>中小企业信用(保理业务)</t>
  </si>
  <si>
    <t>Quarter</t>
  </si>
  <si>
    <t>Doesn't have a real brand yet</t>
  </si>
  <si>
    <t>Reinvestment / Sales</t>
  </si>
  <si>
    <t>b = Reinvestment/NOPAT</t>
  </si>
  <si>
    <t xml:space="preserve">Asset Plays </t>
  </si>
  <si>
    <t>1. 行业周期性兴衰，下降中
2.中国金融监管不完善
3. EBIT Margin接近0%</t>
  </si>
  <si>
    <t>银行为了高效便捷地获取更多由大型核 心企业背书的优质信贷资产，将会更愿意主动寻求第三方供应链金融科技平台提供的撮合服务，并借此完成普惠金融的考核指</t>
  </si>
  <si>
    <t>1. 先发竞争优势:Scale and Network Effect in Sales and Distribution
2. 政策方面的支持有利于行业的发展
3. 公司背靠腾讯，可以与腾讯进行战术合作</t>
  </si>
  <si>
    <t>1. 很多资金借给了目前困难的房地产行业。而且业务细节比较复杂，容易有金融风险
2. 经济困难导致贷款需求下降、ABS发行量放缓
3. 规模上升、竞争激烈。平均费率下降</t>
  </si>
  <si>
    <t>1. Yes, 房地产风险敞口正逐步缩小，应收款优先级理论上高于债权及股权。风险很大程度已经被暴露及做空了，市场对其也很悲观
2. Maybe. 经济及行业周期性问题，看不出公司本身竞争力下降
3. Yes. 需要研发投入，增加自动化，长远有利公司构建更强护城河</t>
  </si>
  <si>
    <t>1. 中国供应链金融市场的发展迅猛，资金来源渠道也越来越多
2. 理论上，随着利率下行, ABS 发行量将显著回暖
3. 通过建立生态体系，可能会有"飞轮效应"</t>
  </si>
  <si>
    <t>1. 联易融过桥资金的风险问题 (先买入客户的应收账款，再转卖)
2. 2023Q2貸款總體需求指數下降
3. 下跌快得很吓人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</si>
</sst>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89534</c:v>
                </c:pt>
                <c:pt idx="2" formatCode="#,##0">
                  <c:v>101343</c:v>
                </c:pt>
                <c:pt idx="3" formatCode="#,##0">
                  <c:v>105067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246343</c:v>
                </c:pt>
                <c:pt idx="3" formatCode="#,##0">
                  <c:v>58526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-1081638</c:v>
                </c:pt>
                <c:pt idx="1" formatCode="#,##0">
                  <c:v>-717056</c:v>
                </c:pt>
                <c:pt idx="2" formatCode="#,##0">
                  <c:v>-12991790</c:v>
                </c:pt>
                <c:pt idx="3" formatCode="#,##0">
                  <c:v>-13458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31" zoomScale="144" zoomScaleNormal="100" workbookViewId="0">
      <selection activeCell="C38" sqref="C38:D38"/>
    </sheetView>
  </sheetViews>
  <sheetFormatPr defaultColWidth="12.453125" defaultRowHeight="15" customHeight="1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9959.HK : LINKLOGIS-W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394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395</v>
      </c>
      <c r="D4" s="322"/>
      <c r="E4" s="6"/>
      <c r="G4" s="5" t="s">
        <v>5</v>
      </c>
      <c r="I4" s="221">
        <v>1.78</v>
      </c>
      <c r="J4" s="222" t="s">
        <v>6</v>
      </c>
      <c r="K4" s="92"/>
    </row>
    <row r="5" spans="1:12" ht="15.75" customHeight="1">
      <c r="B5" s="5" t="s">
        <v>7</v>
      </c>
      <c r="C5" s="354">
        <v>45177</v>
      </c>
      <c r="D5" s="322"/>
      <c r="E5" s="79" t="str">
        <f ca="1">IF(C5+30&gt;=TODAY(),"Patience Premium","")</f>
        <v>Patience Premium</v>
      </c>
      <c r="G5" s="5" t="s">
        <v>8</v>
      </c>
      <c r="I5" s="321">
        <v>2017360000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61">
        <f>I4*I5/1000000</f>
        <v>3590.9007999999999</v>
      </c>
      <c r="J6" s="361"/>
      <c r="K6" s="91"/>
    </row>
    <row r="7" spans="1:12" ht="15.75" customHeight="1">
      <c r="B7" s="86" t="s">
        <v>10</v>
      </c>
      <c r="C7" s="218">
        <f>(Data!C42*Exchange_Rate)/I4</f>
        <v>0</v>
      </c>
      <c r="D7" s="218">
        <f>(Data!C43*Exchange_Rate)/I4</f>
        <v>1.7664268112637976E-2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 t="str">
        <f>IF(Data!F3&lt;=0,"NNI",I4/((Data!F3*I12)/(I5/Data!C4)))</f>
        <v>NNI</v>
      </c>
      <c r="J9" s="166" t="str">
        <f>IF(I9="NNI","NNI",1/I9)</f>
        <v>NNI</v>
      </c>
    </row>
    <row r="10" spans="1:12" ht="15.75" customHeight="1">
      <c r="B10" s="3" t="s">
        <v>226</v>
      </c>
      <c r="C10" s="122" t="s">
        <v>323</v>
      </c>
      <c r="D10" s="122">
        <v>2.8999999999999998E-2</v>
      </c>
      <c r="E10" s="5"/>
      <c r="G10" s="85" t="s">
        <v>330</v>
      </c>
      <c r="H10" s="84"/>
      <c r="I10" s="165">
        <f>I4/(Data!C29*I12*Data!C4/Common_Shares)</f>
        <v>0.33277084968657644</v>
      </c>
      <c r="J10" s="223">
        <f>I4/(Data!C7*Data!C4/Common_Shares*Exchange_Rate)</f>
        <v>3.5849840754037978</v>
      </c>
    </row>
    <row r="11" spans="1:12" ht="15.75" customHeight="1" thickBot="1">
      <c r="B11" s="124" t="s">
        <v>227</v>
      </c>
      <c r="C11" s="331">
        <f ca="1">C12-D10</f>
        <v>6.7000000000000004E-2</v>
      </c>
      <c r="D11" s="332"/>
      <c r="E11" s="13"/>
      <c r="G11" s="5" t="s">
        <v>14</v>
      </c>
      <c r="H11" s="6"/>
      <c r="I11" s="360" t="s">
        <v>396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9.6000000000000002E-2</v>
      </c>
      <c r="D12" s="368"/>
      <c r="G12" s="85" t="s">
        <v>15</v>
      </c>
      <c r="H12" s="84"/>
      <c r="I12" s="226">
        <v>1.0838026603062947</v>
      </c>
      <c r="J12" s="227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2.8003784072163862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1.78</v>
      </c>
      <c r="C16" s="347">
        <v>0.2</v>
      </c>
      <c r="D16" s="238">
        <f ca="1">I37/B16-(1+C16)</f>
        <v>0.41879741692248107</v>
      </c>
      <c r="E16" s="341" t="s">
        <v>21</v>
      </c>
      <c r="F16" s="362">
        <f>(Val_Models!G16)*Exchange_Rate</f>
        <v>3.1256866846314058</v>
      </c>
      <c r="G16" s="341" t="s">
        <v>22</v>
      </c>
      <c r="H16" s="239">
        <f>B16-$F$16</f>
        <v>-1.3456866846314057</v>
      </c>
      <c r="I16" s="336">
        <v>0</v>
      </c>
      <c r="J16" s="166">
        <f>I16/B16</f>
        <v>0</v>
      </c>
    </row>
    <row r="17" spans="1:10" ht="15.75" customHeight="1">
      <c r="B17" s="116">
        <f ca="1">MIN((I37+I38)/2,I37/(1+C16), IF(J20=0,E14,I37/(1+C16)))</f>
        <v>2.4012161684350137</v>
      </c>
      <c r="C17" s="348"/>
      <c r="D17" s="149">
        <f ca="1">I37/B17-(1+C16)</f>
        <v>0</v>
      </c>
      <c r="E17" s="342"/>
      <c r="F17" s="363"/>
      <c r="G17" s="342"/>
      <c r="H17" s="236">
        <f ca="1">B17-$F$16</f>
        <v>-0.72447051619639202</v>
      </c>
      <c r="I17" s="337"/>
      <c r="J17" s="149">
        <f ca="1">I16/B17</f>
        <v>0</v>
      </c>
    </row>
    <row r="18" spans="1:10" ht="15.75" customHeight="1">
      <c r="B18" s="129">
        <f>C37</f>
        <v>1.6</v>
      </c>
      <c r="C18" s="349"/>
      <c r="D18" s="237">
        <f ca="1">I37/B18-(1+C16)</f>
        <v>0.60091212632626001</v>
      </c>
      <c r="E18" s="343"/>
      <c r="F18" s="364"/>
      <c r="G18" s="343"/>
      <c r="H18" s="98">
        <f>B18-$F$16</f>
        <v>-1.5256866846314057</v>
      </c>
      <c r="I18" s="338"/>
      <c r="J18" s="158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406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57" t="s">
        <v>397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409</v>
      </c>
      <c r="D22" s="352"/>
      <c r="E22" s="352"/>
      <c r="F22" s="352"/>
      <c r="G22" s="366" t="s">
        <v>407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412</v>
      </c>
      <c r="D23" s="340"/>
      <c r="E23" s="340"/>
      <c r="F23" s="340"/>
      <c r="G23" s="339" t="s">
        <v>413</v>
      </c>
      <c r="H23" s="339"/>
      <c r="I23" s="340"/>
      <c r="J23" s="340"/>
    </row>
    <row r="24" spans="1:10" ht="52.5" customHeight="1">
      <c r="A24" s="6"/>
      <c r="B24" s="19" t="s">
        <v>291</v>
      </c>
      <c r="C24" s="369" t="s">
        <v>410</v>
      </c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290</v>
      </c>
      <c r="C25" s="370" t="s">
        <v>411</v>
      </c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55">
        <v>45180</v>
      </c>
      <c r="D28" s="356"/>
      <c r="E28" s="346" t="str">
        <f>IF(C28="","","Action_Planning")</f>
        <v>Action_Planning</v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8.1818181818181818E-2</v>
      </c>
      <c r="D29" s="329"/>
      <c r="E29" s="334">
        <f>E33/D27</f>
        <v>7.2727272727272724E-2</v>
      </c>
      <c r="F29" s="329"/>
      <c r="G29" s="345">
        <f>G33/D27</f>
        <v>0</v>
      </c>
      <c r="H29" s="345"/>
      <c r="I29" s="344">
        <f>C29+E29+G29</f>
        <v>0.15454545454545454</v>
      </c>
      <c r="J29" s="344"/>
    </row>
    <row r="30" spans="1:10" ht="15.75" customHeight="1">
      <c r="B30" s="18" t="s">
        <v>32</v>
      </c>
      <c r="C30" s="321">
        <v>30000</v>
      </c>
      <c r="D30" s="322"/>
      <c r="E30" s="321">
        <v>30000</v>
      </c>
      <c r="F30" s="322"/>
      <c r="G30" s="321"/>
      <c r="H30" s="321"/>
      <c r="I30" s="350">
        <f>C30+E30+G30</f>
        <v>60000</v>
      </c>
      <c r="J30" s="350"/>
    </row>
    <row r="31" spans="1:10" ht="15.75" customHeight="1">
      <c r="B31" s="18" t="s">
        <v>33</v>
      </c>
      <c r="C31" s="323">
        <v>1.8</v>
      </c>
      <c r="D31" s="322"/>
      <c r="E31" s="323">
        <v>1.6</v>
      </c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3631.248</v>
      </c>
      <c r="D32" s="329"/>
      <c r="E32" s="330">
        <f>E31*$I$5/1000000</f>
        <v>3227.7759999999998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54000</v>
      </c>
      <c r="D33" s="327"/>
      <c r="E33" s="326">
        <f>E30*E31</f>
        <v>48000</v>
      </c>
      <c r="F33" s="327"/>
      <c r="G33" s="326">
        <f>G30*G31</f>
        <v>0</v>
      </c>
      <c r="H33" s="326"/>
      <c r="I33" s="326">
        <f>C33+E33+G33</f>
        <v>102000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1.7</v>
      </c>
      <c r="F34" s="329"/>
      <c r="G34" s="78"/>
      <c r="H34" s="78"/>
      <c r="I34" s="328">
        <f>IF(I33=0,"",I33/I30)</f>
        <v>1.7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3429.5120000000002</v>
      </c>
      <c r="F35" s="325"/>
      <c r="G35" s="230"/>
      <c r="H35" s="230"/>
      <c r="I35" s="324">
        <f>IF(I34="","",I34*$I$5/1000000)</f>
        <v>3429.5120000000002</v>
      </c>
      <c r="J35" s="324"/>
    </row>
    <row r="36" spans="2:11" ht="15.75" customHeight="1"/>
    <row r="37" spans="2:11" ht="15.75" customHeight="1">
      <c r="B37" s="87" t="s">
        <v>255</v>
      </c>
      <c r="C37" s="374">
        <f>E31</f>
        <v>1.6</v>
      </c>
      <c r="D37" s="375"/>
      <c r="E37" s="79" t="str">
        <f ca="1">IF(C37&gt;B17,"Caution! &gt; Breakeven price!","")</f>
        <v/>
      </c>
      <c r="F37" s="6"/>
      <c r="G37" s="371" t="s">
        <v>315</v>
      </c>
      <c r="H37" s="371"/>
      <c r="I37" s="372">
        <f ca="1">Val_Models!C46</f>
        <v>2.8814594021220161</v>
      </c>
      <c r="J37" s="373"/>
    </row>
    <row r="38" spans="2:11" ht="15.75" customHeight="1">
      <c r="B38" s="87" t="s">
        <v>280</v>
      </c>
      <c r="C38" s="374">
        <f>E34</f>
        <v>1.7</v>
      </c>
      <c r="D38" s="375"/>
      <c r="E38" s="6"/>
      <c r="F38" s="6"/>
      <c r="G38" s="371" t="s">
        <v>279</v>
      </c>
      <c r="H38" s="371"/>
      <c r="I38" s="372">
        <f ca="1">Val_Models!C47</f>
        <v>2.240302725773109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0.42000000000000004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0.40617346938775512</v>
      </c>
      <c r="G43" s="77"/>
      <c r="H43" s="77"/>
      <c r="I43" s="77"/>
      <c r="J43" s="77"/>
    </row>
    <row r="44" spans="2:11" ht="15.75" customHeight="1">
      <c r="B44" s="3" t="s">
        <v>335</v>
      </c>
      <c r="C44" s="6"/>
      <c r="D44" s="6"/>
      <c r="E44" s="6"/>
      <c r="F44" s="171">
        <f>AVERAGE(Asset_Model!J28/4,1-Asset_Model!I56)</f>
        <v>0.96676949101151388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0.60081077895667567</v>
      </c>
      <c r="F47" s="171">
        <f ca="1">I37/C38-1</f>
        <v>0.69497611889530364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0.2446126254295049</v>
      </c>
      <c r="F48" s="171">
        <f ca="1">Val_Models!C47/C38-1</f>
        <v>0.3178251328077113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0.6831309325184719</v>
      </c>
      <c r="F50" s="171">
        <f ca="1">IF(F47&lt;=0,0,AVERAGE(F41:F44,0.5*(1+F47+F48-C16)))</f>
        <v>0.69986871725015543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100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1</v>
      </c>
      <c r="F52" s="232">
        <f ca="1">MAX(C16*2.5/F47,1)+IF(F47&lt;C16,100,0)+IF(D18&lt;0,100,0)+IF(J20=1,2/(1+F47+F48-C16),0)</f>
        <v>1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0.4</v>
      </c>
      <c r="F53" s="217">
        <f ca="1">MIN(MAX(F50-ABS((1-F50)/F51),0)/F52,H53)</f>
        <v>0.4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388</v>
      </c>
    </row>
    <row r="65" spans="2:2" ht="15.75" customHeight="1">
      <c r="B65" s="3" t="s">
        <v>390</v>
      </c>
    </row>
    <row r="66" spans="2:2" ht="15.75" customHeight="1">
      <c r="B66" s="3" t="s">
        <v>389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9" sqref="C19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-13458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282282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924200</v>
      </c>
      <c r="D7" s="160">
        <v>1198013</v>
      </c>
      <c r="E7" s="160">
        <v>1028541</v>
      </c>
      <c r="F7" s="160">
        <v>699593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-0.22855595056147138</v>
      </c>
      <c r="D8" s="149">
        <f t="shared" si="1"/>
        <v>0.16476931887012758</v>
      </c>
      <c r="E8" s="149">
        <f t="shared" si="1"/>
        <v>0.47019910147757349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149665</v>
      </c>
      <c r="D9" s="148">
        <v>270763</v>
      </c>
      <c r="E9" s="148">
        <v>398163</v>
      </c>
      <c r="F9" s="148">
        <v>336621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0.83805994373512227</v>
      </c>
      <c r="D10" s="149">
        <f t="shared" si="2"/>
        <v>0.77398993166184338</v>
      </c>
      <c r="E10" s="149">
        <f t="shared" si="2"/>
        <v>0.61288563119992301</v>
      </c>
      <c r="F10" s="149">
        <f t="shared" si="2"/>
        <v>0.51883309295547553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162582+235577</f>
        <v>398159</v>
      </c>
      <c r="D11" s="148">
        <f>136252+220149</f>
        <v>356401</v>
      </c>
      <c r="E11" s="148">
        <v>124222</v>
      </c>
      <c r="F11" s="148">
        <v>94347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0.43081475871023589</v>
      </c>
      <c r="D12" s="149">
        <f t="shared" si="3"/>
        <v>0.29749343287593705</v>
      </c>
      <c r="E12" s="149">
        <f t="shared" si="3"/>
        <v>0.1207749618148426</v>
      </c>
      <c r="F12" s="149">
        <f t="shared" si="3"/>
        <v>0.13485983993550532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0.40724518502488638</v>
      </c>
      <c r="D13" s="149">
        <f t="shared" si="4"/>
        <v>0.47649649878590633</v>
      </c>
      <c r="E13" s="149">
        <f t="shared" si="4"/>
        <v>0.49211066938508041</v>
      </c>
      <c r="F13" s="149">
        <f t="shared" si="4"/>
        <v>0.38397325301997021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376376</v>
      </c>
      <c r="D14" s="51">
        <f t="shared" si="5"/>
        <v>570849</v>
      </c>
      <c r="E14" s="51">
        <f t="shared" si="5"/>
        <v>506156</v>
      </c>
      <c r="F14" s="51">
        <f t="shared" si="5"/>
        <v>268625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-0.34067327787208174</v>
      </c>
      <c r="D15" s="149">
        <f t="shared" ref="D15:M15" si="6">IF(E14="","",IF(ABS(D14+E14)=ABS(D14)+ABS(E14),IF(D14&lt;0,-1,1)*(D14-E14)/E14,"Turn"))</f>
        <v>0.12781237405068793</v>
      </c>
      <c r="E15" s="149">
        <f t="shared" si="6"/>
        <v>0.8842475570032573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282282</v>
      </c>
      <c r="D16" s="51">
        <f>IF(D14="","",D14*(1-Projections!$F$18))</f>
        <v>428136.75</v>
      </c>
      <c r="E16" s="51">
        <f>IF(E14="","",E14*(1-Projections!$F$18))</f>
        <v>379617</v>
      </c>
      <c r="F16" s="51">
        <f>IF(F14="","",F14*(1-Projections!$F$18))</f>
        <v>201468.75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0.30543388876866479</v>
      </c>
      <c r="D17" s="149">
        <f t="shared" si="7"/>
        <v>0.35737237408942973</v>
      </c>
      <c r="E17" s="149">
        <f t="shared" si="7"/>
        <v>0.36908300203881034</v>
      </c>
      <c r="F17" s="149">
        <f t="shared" si="7"/>
        <v>0.28797993976497765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30280</v>
      </c>
      <c r="D18" s="148">
        <v>135144</v>
      </c>
      <c r="E18" s="148">
        <v>140407</v>
      </c>
      <c r="F18" s="148">
        <v>108297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-13458</v>
      </c>
      <c r="D19" s="148">
        <v>-12991790</v>
      </c>
      <c r="E19" s="148">
        <v>-717056</v>
      </c>
      <c r="F19" s="148">
        <v>-1081638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0.99896411502956872</v>
      </c>
      <c r="D20" s="149">
        <f t="shared" ref="D20:M20" si="8">IF(E19="","",IF(ABS(D19+E19)=ABS(D19)+ABS(E19),IF(D19&lt;0,-1,1)*(D19-E19)/E19,"Turn"))</f>
        <v>-17.118236232595503</v>
      </c>
      <c r="E20" s="149">
        <f t="shared" si="8"/>
        <v>0.3370647111140696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369</v>
      </c>
      <c r="C21" s="150">
        <v>11924356</v>
      </c>
      <c r="D21" s="148">
        <v>11808265</v>
      </c>
      <c r="E21" s="148">
        <v>6136803</v>
      </c>
      <c r="F21" s="148">
        <v>3771652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11098580</v>
      </c>
      <c r="D22" s="148">
        <v>11219637</v>
      </c>
      <c r="E22" s="148">
        <v>5753012</v>
      </c>
      <c r="F22" s="148">
        <v>3489602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1937845</v>
      </c>
      <c r="D23" s="148">
        <v>2024596</v>
      </c>
      <c r="E23" s="148">
        <v>9408613</v>
      </c>
      <c r="F23" s="148">
        <v>6338479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29464</v>
      </c>
      <c r="D24" s="148">
        <v>1195554</v>
      </c>
      <c r="E24" s="148">
        <v>2707794</v>
      </c>
      <c r="F24" s="148">
        <v>1053656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19452</v>
      </c>
      <c r="D25" s="152">
        <v>18476</v>
      </c>
      <c r="E25" s="152">
        <v>10915</v>
      </c>
      <c r="F25" s="152">
        <v>8110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29983</v>
      </c>
      <c r="D26" s="148">
        <v>61277</v>
      </c>
      <c r="E26" s="148">
        <v>51229</v>
      </c>
      <c r="F26" s="148">
        <v>23195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29983</v>
      </c>
      <c r="D27" s="152">
        <v>48063</v>
      </c>
      <c r="E27" s="152">
        <v>38071</v>
      </c>
      <c r="F27" s="152">
        <v>503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59447</v>
      </c>
      <c r="D28" s="51">
        <f t="shared" si="9"/>
        <v>1256831</v>
      </c>
      <c r="E28" s="51">
        <f t="shared" si="9"/>
        <v>2759023</v>
      </c>
      <c r="F28" s="51">
        <f t="shared" si="9"/>
        <v>1076851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9956528</v>
      </c>
      <c r="D29" s="148">
        <v>9722107</v>
      </c>
      <c r="E29" s="148">
        <v>-3323489</v>
      </c>
      <c r="F29" s="148">
        <v>-2590443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9957299</v>
      </c>
      <c r="D30" s="152">
        <v>9714578</v>
      </c>
      <c r="E30" s="152">
        <v>-3329901</v>
      </c>
      <c r="F30" s="152">
        <v>-2595281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344</v>
      </c>
      <c r="C31" s="150">
        <v>69919</v>
      </c>
      <c r="D31" s="148">
        <v>92416</v>
      </c>
      <c r="E31" s="148">
        <v>68053</v>
      </c>
      <c r="F31" s="148">
        <v>21197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5731387</v>
      </c>
      <c r="D32" s="148">
        <v>4927885</v>
      </c>
      <c r="E32" s="148">
        <v>587337</v>
      </c>
      <c r="F32" s="148">
        <v>390027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392</v>
      </c>
      <c r="C33" s="161">
        <f>Projections!F22</f>
        <v>105067</v>
      </c>
      <c r="D33" s="161">
        <f>D31-E31+Projections!E22</f>
        <v>101343</v>
      </c>
      <c r="E33" s="161">
        <f>E31-F31+Projections!D22</f>
        <v>89534</v>
      </c>
      <c r="F33" s="161"/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363</v>
      </c>
      <c r="C34" s="161">
        <v>0</v>
      </c>
      <c r="D34" s="161">
        <v>0</v>
      </c>
      <c r="E34" s="161">
        <v>0</v>
      </c>
      <c r="F34" s="161"/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33894.400000000001</v>
      </c>
      <c r="E35" s="154">
        <f>IF(F7="","",IF(E8&lt;0,0,(E7-F7)*Asset_Model!$D$68))</f>
        <v>65789.600000000006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>IF(D7="","",C33+C35+IF($C$58="yes",C60,0))</f>
        <v>456185</v>
      </c>
      <c r="D36" s="51">
        <f t="shared" ref="D36:M36" si="11">IF(E7="","",D33+D35+IF($C$58="yes",D60,0))</f>
        <v>412646.40000000002</v>
      </c>
      <c r="E36" s="51">
        <f t="shared" si="11"/>
        <v>259048.6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404</v>
      </c>
      <c r="C37" s="149">
        <f>IF(C36="","",C36/C7)</f>
        <v>0.49359987015797446</v>
      </c>
      <c r="D37" s="149">
        <f t="shared" ref="D37:M37" si="12">IF(D36="","",D36/D7)</f>
        <v>0.34444233910650385</v>
      </c>
      <c r="E37" s="149">
        <f t="shared" si="12"/>
        <v>0.25186025642147469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405</v>
      </c>
      <c r="C38" s="158">
        <f>IF(C36="","",C36/C16)</f>
        <v>1.6160612437208182</v>
      </c>
      <c r="D38" s="158">
        <f t="shared" ref="D38:M38" si="13">IF(D36="","",D36/D16)</f>
        <v>0.96381915357651504</v>
      </c>
      <c r="E38" s="158">
        <f t="shared" si="13"/>
        <v>0.68239462405529783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0</v>
      </c>
      <c r="D40" s="163">
        <v>0</v>
      </c>
      <c r="E40" s="163">
        <v>0</v>
      </c>
      <c r="F40" s="163">
        <v>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58526</v>
      </c>
      <c r="D41" s="161">
        <v>246343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</v>
      </c>
      <c r="D42" s="162">
        <f t="shared" si="14"/>
        <v>0</v>
      </c>
      <c r="E42" s="162">
        <f t="shared" si="14"/>
        <v>0</v>
      </c>
      <c r="F42" s="162">
        <f t="shared" si="14"/>
        <v>0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2.9011182932148948E-2</v>
      </c>
      <c r="D43" s="164">
        <f t="shared" si="15"/>
        <v>0.12211157155886902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353</v>
      </c>
      <c r="C45" s="166">
        <f>IF(C30="","",(C21-C30)/C21)</f>
        <v>0.16496127757339685</v>
      </c>
      <c r="D45" s="166">
        <f>IF(D30="","",(D21-D30)/D21)</f>
        <v>0.17730691172665924</v>
      </c>
      <c r="E45" s="166">
        <f t="shared" ref="E45:M45" si="16">IF(E30="","",(E21-E30)/E21)</f>
        <v>1.5426116823368781</v>
      </c>
      <c r="F45" s="166">
        <f t="shared" si="16"/>
        <v>1.6881019245678022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365</v>
      </c>
      <c r="C46" s="149">
        <f t="shared" ref="C46:M46" si="17">IF(C30="","",C28/C30)</f>
        <v>5.9701933225064351E-3</v>
      </c>
      <c r="D46" s="149">
        <f t="shared" si="17"/>
        <v>0.12937576907612455</v>
      </c>
      <c r="E46" s="149">
        <f t="shared" si="17"/>
        <v>-0.82856006830233087</v>
      </c>
      <c r="F46" s="149">
        <f t="shared" si="17"/>
        <v>-0.41492655323257865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6.3312866923478053</v>
      </c>
      <c r="D47" s="165">
        <f t="shared" si="18"/>
        <v>0.4541971036678758</v>
      </c>
      <c r="E47" s="165">
        <f t="shared" si="18"/>
        <v>0.18345479541127421</v>
      </c>
      <c r="F47" s="165">
        <f t="shared" si="18"/>
        <v>0.24945419561294924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8.0451463430186831E-2</v>
      </c>
      <c r="D48" s="149">
        <f>IF(D14="","",IF(D18&lt;=0,"-",D18/D14))</f>
        <v>0.23674211569083944</v>
      </c>
      <c r="E48" s="149">
        <f t="shared" ref="E48:M48" si="19">IF(E14="","",IF(E18&lt;=0,"-",E18/E14))</f>
        <v>0.27739866760445397</v>
      </c>
      <c r="F48" s="149">
        <f t="shared" si="19"/>
        <v>0.40315309446254072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5.7272795295805388</v>
      </c>
      <c r="D49" s="167">
        <f t="shared" si="20"/>
        <v>5.5416670782714181</v>
      </c>
      <c r="E49" s="167">
        <f t="shared" si="20"/>
        <v>0.61146228461091978</v>
      </c>
      <c r="F49" s="167">
        <f t="shared" si="20"/>
        <v>0.55054248818999008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0.40724518502488638</v>
      </c>
      <c r="D51" s="166">
        <f t="shared" si="21"/>
        <v>0.47649649878590633</v>
      </c>
      <c r="E51" s="166">
        <f t="shared" si="21"/>
        <v>0.49211066938508041</v>
      </c>
      <c r="F51" s="166">
        <f t="shared" si="21"/>
        <v>0.38397325301997021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7.7505233825625464E-2</v>
      </c>
      <c r="D52" s="149">
        <f>IF(D7="","",D7/D21)</f>
        <v>0.10145546360959887</v>
      </c>
      <c r="E52" s="149">
        <f t="shared" ref="E52:M52" si="22">IF(E7="","",E7/E21)</f>
        <v>0.16760208857934661</v>
      </c>
      <c r="F52" s="149">
        <f t="shared" si="22"/>
        <v>0.18548715523065223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371</v>
      </c>
      <c r="C53" s="168">
        <f>C21/C29</f>
        <v>1.1976419892556924</v>
      </c>
      <c r="D53" s="168">
        <f>IF(D29="","",D21/D29)</f>
        <v>1.2145787944938273</v>
      </c>
      <c r="E53" s="168">
        <f t="shared" ref="E53:M53" si="23">IF(E29="","",E21/E29)</f>
        <v>-1.8464941511766702</v>
      </c>
      <c r="F53" s="168">
        <f t="shared" si="23"/>
        <v>-1.4559872577779167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370</v>
      </c>
      <c r="C54" s="149">
        <f>C51*C52*C53</f>
        <v>3.7801932561230184E-2</v>
      </c>
      <c r="D54" s="149">
        <f>IF(D51="","",D51*D52*D53)</f>
        <v>5.8716593018365258E-2</v>
      </c>
      <c r="E54" s="149">
        <f t="shared" ref="E54:M54" si="24">IF(E51="","",E51*E52*E53)</f>
        <v>-0.15229657748227843</v>
      </c>
      <c r="F54" s="149">
        <f t="shared" si="24"/>
        <v>-0.10369847937206106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6.1090238149952146E-2</v>
      </c>
      <c r="D55" s="158">
        <f>IF(D38="","",D38*D54)</f>
        <v>5.6592176983857517E-2</v>
      </c>
      <c r="E55" s="158">
        <f t="shared" ref="E55:M55" si="25">IF(E38="","",E38*E54)</f>
        <v>-0.10392636573592792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338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324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351118</v>
      </c>
      <c r="D60" s="163">
        <v>277409</v>
      </c>
      <c r="E60" s="163">
        <v>103725</v>
      </c>
      <c r="F60" s="163">
        <v>59876</v>
      </c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0.37991560268340185</v>
      </c>
      <c r="D61" s="173">
        <f t="shared" si="26"/>
        <v>0.23155758743853364</v>
      </c>
      <c r="E61" s="173">
        <f>IF(E60="","",E60/E7)</f>
        <v>0.10084673338252924</v>
      </c>
      <c r="F61" s="173">
        <f>IF(F60="","",F60/F7)</f>
        <v>8.5586905529357785E-2</v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D16" sqref="D16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9397612</v>
      </c>
      <c r="E3" s="191" t="str">
        <f>IF((C49-I49)=D3,"", "Error!")</f>
        <v/>
      </c>
      <c r="F3" s="6"/>
      <c r="G3" s="6"/>
      <c r="H3" s="112" t="s">
        <v>216</v>
      </c>
      <c r="I3" s="163">
        <v>9399525</v>
      </c>
      <c r="K3" s="43"/>
    </row>
    <row r="4" spans="1:11" ht="15" customHeight="1">
      <c r="B4" s="5" t="s">
        <v>193</v>
      </c>
      <c r="C4" s="6"/>
      <c r="D4" s="186">
        <f>D3-I3</f>
        <v>-1913</v>
      </c>
      <c r="E4" s="90"/>
      <c r="F4" s="6"/>
      <c r="G4" s="6"/>
      <c r="H4" s="38" t="s">
        <v>71</v>
      </c>
      <c r="I4" s="139">
        <f>(I3*Dashboard!I12*Data!C4)/Dashboard!I5</f>
        <v>5.0497829840065851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5135066.74063545</v>
      </c>
      <c r="E6" s="149">
        <f>1-D6/D3</f>
        <v>0.45357748961805933</v>
      </c>
      <c r="F6" s="6"/>
      <c r="G6" s="6"/>
      <c r="H6" s="3" t="s">
        <v>256</v>
      </c>
      <c r="I6" s="184">
        <f>C28/I28</f>
        <v>6.1819724288061852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2.7587535166510064</v>
      </c>
      <c r="E7" s="18" t="str">
        <f>Dashboard!J4</f>
        <v>HKD</v>
      </c>
      <c r="H7" s="3" t="s">
        <v>257</v>
      </c>
      <c r="I7" s="184">
        <f>C25/I28</f>
        <v>1.6290885868321416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4.5528838419740438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402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5832904</v>
      </c>
      <c r="D11" s="180">
        <v>1</v>
      </c>
      <c r="E11" s="51">
        <f t="shared" ref="E11:E21" si="0">C11*D11</f>
        <v>5832904</v>
      </c>
      <c r="F11" s="6"/>
      <c r="G11" s="6"/>
      <c r="H11" s="5" t="s">
        <v>79</v>
      </c>
      <c r="I11" s="179">
        <v>581772</v>
      </c>
      <c r="J11" s="6"/>
      <c r="K11" s="43"/>
    </row>
    <row r="12" spans="1:11" ht="14">
      <c r="B12" s="3" t="s">
        <v>80</v>
      </c>
      <c r="C12" s="179">
        <v>133311</v>
      </c>
      <c r="D12" s="180">
        <v>0.95</v>
      </c>
      <c r="E12" s="51">
        <f t="shared" si="0"/>
        <v>126645.45</v>
      </c>
      <c r="F12" s="6"/>
      <c r="G12" s="6"/>
      <c r="H12" s="5" t="s">
        <v>81</v>
      </c>
      <c r="I12" s="179">
        <v>19166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f>1089466+444280</f>
        <v>1533746</v>
      </c>
      <c r="D14" s="180">
        <v>0.3</v>
      </c>
      <c r="E14" s="51">
        <f t="shared" si="0"/>
        <v>460123.8</v>
      </c>
      <c r="F14" s="6"/>
      <c r="G14" s="6"/>
      <c r="H14" s="6" t="s">
        <v>342</v>
      </c>
      <c r="I14" s="179">
        <v>0</v>
      </c>
      <c r="J14" s="6"/>
      <c r="K14" s="47"/>
    </row>
    <row r="15" spans="1:11" ht="14">
      <c r="B15" s="5" t="s">
        <v>86</v>
      </c>
      <c r="C15" s="179">
        <v>181725</v>
      </c>
      <c r="D15" s="180">
        <v>0.05</v>
      </c>
      <c r="E15" s="51">
        <f t="shared" si="0"/>
        <v>9086.25</v>
      </c>
      <c r="F15" s="6"/>
      <c r="G15" s="6"/>
      <c r="H15" s="5" t="s">
        <v>87</v>
      </c>
      <c r="I15" s="130">
        <f>I28-SUM(I11:I14)</f>
        <v>1046361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341</v>
      </c>
      <c r="C17" s="179">
        <f>2244124+11642+246105</f>
        <v>2501871</v>
      </c>
      <c r="D17" s="180">
        <v>0.1</v>
      </c>
      <c r="E17" s="51">
        <f t="shared" si="0"/>
        <v>250187.1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0</v>
      </c>
      <c r="D18" s="180">
        <v>0.5</v>
      </c>
      <c r="E18" s="51">
        <f t="shared" si="0"/>
        <v>0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382</v>
      </c>
      <c r="G23" s="6"/>
      <c r="H23" s="6"/>
      <c r="I23" s="6"/>
    </row>
    <row r="24" spans="2:10" ht="15" customHeight="1">
      <c r="B24" s="41" t="s">
        <v>372</v>
      </c>
      <c r="C24" s="182">
        <f>SUM(C11:C14)</f>
        <v>7499961</v>
      </c>
      <c r="D24" s="183">
        <f>IF(E24=0,0,E24/C24)</f>
        <v>0.85596088432993189</v>
      </c>
      <c r="E24" s="51">
        <f>SUM(E11:E14)</f>
        <v>6419673.25</v>
      </c>
      <c r="F24" s="233">
        <f>E24/$E$28</f>
        <v>0.96118050262596799</v>
      </c>
      <c r="G24" s="6"/>
      <c r="H24" s="3" t="s">
        <v>380</v>
      </c>
      <c r="I24" s="312">
        <f>I11+I12+I13</f>
        <v>600938</v>
      </c>
    </row>
    <row r="25" spans="2:10" ht="15" customHeight="1">
      <c r="B25" s="41" t="s">
        <v>376</v>
      </c>
      <c r="C25" s="182">
        <f>SUM(C15:C17)</f>
        <v>2683596</v>
      </c>
      <c r="D25" s="183">
        <f>IF(E25=0,0,E25/C25)</f>
        <v>9.6614151310405891E-2</v>
      </c>
      <c r="E25" s="51">
        <f>SUM(E15:E17)</f>
        <v>259273.35</v>
      </c>
      <c r="F25" s="233">
        <f t="shared" ref="F25:F27" si="2">E25/$E$28</f>
        <v>3.8819497374032008E-2</v>
      </c>
      <c r="G25" s="6"/>
      <c r="H25" s="41" t="s">
        <v>383</v>
      </c>
      <c r="I25" s="184">
        <f>E28/I28</f>
        <v>4.0544834908538157</v>
      </c>
    </row>
    <row r="26" spans="2:10" ht="15" customHeight="1">
      <c r="B26" s="41" t="s">
        <v>374</v>
      </c>
      <c r="C26" s="182">
        <f>C18+C19+C20</f>
        <v>0</v>
      </c>
      <c r="D26" s="183">
        <f t="shared" ref="D26:D27" si="3">IF(E26=0,0,E26/C26)</f>
        <v>0</v>
      </c>
      <c r="E26" s="51">
        <f>E18+E19+E20</f>
        <v>0</v>
      </c>
      <c r="F26" s="233">
        <f t="shared" si="2"/>
        <v>0</v>
      </c>
      <c r="G26" s="6"/>
      <c r="H26" s="41" t="s">
        <v>259</v>
      </c>
      <c r="I26" s="184">
        <f>E24/($I$28-I15)</f>
        <v>10.682754710136487</v>
      </c>
      <c r="J26" s="13" t="str">
        <f>IF(I26&lt;1,"Liquidity Problem!","")</f>
        <v/>
      </c>
    </row>
    <row r="27" spans="2:10" ht="15" customHeight="1">
      <c r="B27" s="41" t="s">
        <v>375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4.0544834908538157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10183557</v>
      </c>
      <c r="D28" s="166">
        <f t="shared" ref="D28" si="4">E28/C28</f>
        <v>0.65585596466931939</v>
      </c>
      <c r="E28" s="212">
        <f>SUM(E24:E27)</f>
        <v>6678946.5999999996</v>
      </c>
      <c r="F28" s="6"/>
      <c r="G28" s="6"/>
      <c r="H28" s="306" t="s">
        <v>53</v>
      </c>
      <c r="I28" s="190">
        <v>1647299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66859</v>
      </c>
      <c r="D31" s="180">
        <v>0.2</v>
      </c>
      <c r="E31" s="51">
        <f t="shared" ref="E31:E42" si="5">C31*D31</f>
        <v>13371.800000000001</v>
      </c>
      <c r="F31" s="6"/>
      <c r="G31" s="6"/>
      <c r="H31" s="5" t="s">
        <v>97</v>
      </c>
      <c r="I31" s="179">
        <v>23764</v>
      </c>
      <c r="J31" s="6"/>
    </row>
    <row r="32" spans="2:10" ht="15" customHeight="1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343</v>
      </c>
      <c r="I33" s="179">
        <v>0</v>
      </c>
      <c r="J33" s="6"/>
    </row>
    <row r="34" spans="2:10" ht="14">
      <c r="B34" s="5" t="s">
        <v>101</v>
      </c>
      <c r="C34" s="179">
        <f>5689+8652</f>
        <v>14341</v>
      </c>
      <c r="D34" s="180">
        <v>0</v>
      </c>
      <c r="E34" s="51">
        <f t="shared" si="5"/>
        <v>0</v>
      </c>
      <c r="F34" s="6"/>
      <c r="G34" s="6"/>
      <c r="H34" s="5" t="s">
        <v>102</v>
      </c>
      <c r="I34" s="130">
        <f>I48-SUM(I30:I33)</f>
        <v>0</v>
      </c>
      <c r="J34" s="6"/>
    </row>
    <row r="35" spans="2:10" ht="14">
      <c r="B35" s="5" t="s">
        <v>103</v>
      </c>
      <c r="C35" s="179">
        <v>338539</v>
      </c>
      <c r="D35" s="180">
        <v>0</v>
      </c>
      <c r="E35" s="51">
        <f t="shared" si="5"/>
        <v>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4">
      <c r="B37" s="3" t="s">
        <v>90</v>
      </c>
      <c r="C37" s="179">
        <v>0</v>
      </c>
      <c r="D37" s="180">
        <v>0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16816+39047</f>
        <v>55863</v>
      </c>
      <c r="D38" s="180">
        <v>0.1</v>
      </c>
      <c r="E38" s="51">
        <f t="shared" si="5"/>
        <v>5586.3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296265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113251</v>
      </c>
      <c r="D41" s="180">
        <v>0.95</v>
      </c>
      <c r="E41" s="51">
        <f t="shared" si="5"/>
        <v>107588.45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373</v>
      </c>
      <c r="C44" s="182">
        <f>SUM(C30:C31)</f>
        <v>66859</v>
      </c>
      <c r="D44" s="183">
        <f>IF(E44=0,0,E44/C44)</f>
        <v>0.2</v>
      </c>
      <c r="E44" s="51">
        <f>SUM(E30:E31)</f>
        <v>13371.800000000001</v>
      </c>
      <c r="F44" s="233"/>
      <c r="G44" s="6"/>
      <c r="H44" s="3" t="s">
        <v>381</v>
      </c>
      <c r="I44" s="312">
        <f>I30+I31+I32</f>
        <v>23764</v>
      </c>
    </row>
    <row r="45" spans="2:10" ht="15" customHeight="1">
      <c r="B45" s="41" t="s">
        <v>377</v>
      </c>
      <c r="C45" s="182">
        <f>SUM(C32:C35)</f>
        <v>352880</v>
      </c>
      <c r="D45" s="183">
        <f>IF(E45=0,0,E45/C45)</f>
        <v>0</v>
      </c>
      <c r="E45" s="51">
        <f>SUM(E32:E35)</f>
        <v>0</v>
      </c>
      <c r="F45" s="233"/>
      <c r="G45" s="6"/>
    </row>
    <row r="46" spans="2:10" ht="15" customHeight="1">
      <c r="B46" s="41" t="s">
        <v>378</v>
      </c>
      <c r="C46" s="182">
        <f>C36+C37+C38+C39</f>
        <v>55863</v>
      </c>
      <c r="D46" s="183">
        <f t="shared" ref="D46:D47" si="6">IF(E46=0,0,E46/C46)</f>
        <v>0.1</v>
      </c>
      <c r="E46" s="51">
        <f>E36+E37+E38+E39</f>
        <v>5586.3</v>
      </c>
      <c r="F46" s="6"/>
      <c r="G46" s="6"/>
      <c r="H46" s="41" t="s">
        <v>260</v>
      </c>
      <c r="I46" s="184">
        <f>(E44+E24)/D55</f>
        <v>10.297782062487393</v>
      </c>
      <c r="J46" s="13" t="str">
        <f>IF(I46&lt;1,"Liquidity Problem!","")</f>
        <v/>
      </c>
    </row>
    <row r="47" spans="2:10" ht="15" customHeight="1">
      <c r="B47" s="41" t="s">
        <v>379</v>
      </c>
      <c r="C47" s="182">
        <f>C40+C41+C42</f>
        <v>409516</v>
      </c>
      <c r="D47" s="183">
        <f t="shared" si="6"/>
        <v>0.26272099258637027</v>
      </c>
      <c r="E47" s="51">
        <f>E40+E41+E42</f>
        <v>107588.45</v>
      </c>
      <c r="F47" s="6"/>
      <c r="G47" s="6"/>
      <c r="H47" s="41" t="s">
        <v>264</v>
      </c>
      <c r="I47" s="184">
        <f>(E44+E45+E24+E25)/$I$49</f>
        <v>4.0048271070570047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885118</v>
      </c>
      <c r="D48" s="310">
        <f>E48/C48</f>
        <v>0.14297138912551774</v>
      </c>
      <c r="E48" s="304">
        <f>SUM(E30:E42)</f>
        <v>126546.55</v>
      </c>
      <c r="F48" s="6"/>
      <c r="G48" s="6"/>
      <c r="H48" s="308" t="s">
        <v>109</v>
      </c>
      <c r="I48" s="311">
        <v>23764</v>
      </c>
      <c r="J48" s="13"/>
    </row>
    <row r="49" spans="2:10" ht="15" customHeight="1" thickTop="1">
      <c r="B49" s="5" t="s">
        <v>369</v>
      </c>
      <c r="C49" s="182">
        <f>SUM(C44:C47)+C28</f>
        <v>11068675</v>
      </c>
      <c r="D49" s="149">
        <f>E49/C49</f>
        <v>0.61484262118094524</v>
      </c>
      <c r="E49" s="51">
        <f>E28+E48</f>
        <v>6805493.1499999994</v>
      </c>
      <c r="F49" s="6"/>
      <c r="G49" s="6"/>
      <c r="H49" s="5" t="s">
        <v>261</v>
      </c>
      <c r="I49" s="130">
        <f>I28+I48</f>
        <v>1671063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-1913</v>
      </c>
      <c r="D53" s="54">
        <f>IF(E53=0, 0,E53/C53)</f>
        <v>0.33277084968657639</v>
      </c>
      <c r="E53" s="51">
        <f>MAX(C53,C53*Dashboard!I10)</f>
        <v>-636.59063545042068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624702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50">
        <f>SUM(I11:I13)+SUM(I30:I32)</f>
        <v>624702</v>
      </c>
      <c r="E56" s="381"/>
      <c r="F56" s="5"/>
      <c r="G56" s="5"/>
      <c r="H56" s="6" t="s">
        <v>262</v>
      </c>
      <c r="I56" s="149">
        <f>D56/I3</f>
        <v>6.6461017976972236E-2</v>
      </c>
    </row>
    <row r="57" spans="2:10" ht="14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340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2120869</v>
      </c>
      <c r="D61" s="149">
        <f>IF(E61=0,0,E61/C61)</f>
        <v>0.22753967831110736</v>
      </c>
      <c r="E61" s="130">
        <f>E14+E15+(E19*G19)+(E20*G20)+E31+E32+(E33*G33)+(E35*G35)+(E36*G36)+(E37*G37)</f>
        <v>482581.85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5966215</v>
      </c>
      <c r="D62" s="54">
        <f>IF(E62=0,0,E62/C62)</f>
        <v>0.9988827841437159</v>
      </c>
      <c r="E62" s="182">
        <f>E11+E12+E30</f>
        <v>5959549.4500000002</v>
      </c>
      <c r="F62" s="6"/>
      <c r="G62" s="6"/>
      <c r="H62" s="6"/>
      <c r="I62" s="6"/>
    </row>
    <row r="63" spans="2:10" ht="14">
      <c r="B63" s="32" t="s">
        <v>116</v>
      </c>
      <c r="C63" s="6"/>
      <c r="D63" s="350">
        <f>((Dashboard!I6*Data!C4)+D55+E53-C61-C62)</f>
        <v>-3872117.7906354507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0.92466132871672801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8.5000000000000006E-2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0.2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topLeftCell="A7" zoomScale="108" zoomScaleNormal="100" zoomScalePageLayoutView="80" workbookViewId="0">
      <selection activeCell="G23" sqref="G23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63281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398</v>
      </c>
      <c r="C4" s="205"/>
      <c r="D4" s="205"/>
      <c r="E4" s="205">
        <v>674723</v>
      </c>
      <c r="F4" s="205">
        <v>503773</v>
      </c>
      <c r="G4" s="205"/>
      <c r="H4" s="206"/>
      <c r="I4" s="206"/>
      <c r="J4" s="6"/>
      <c r="K4" s="43"/>
      <c r="L4" s="36"/>
    </row>
    <row r="5" spans="1:12" ht="15.75" customHeight="1">
      <c r="B5" s="118" t="s">
        <v>399</v>
      </c>
      <c r="C5" s="196"/>
      <c r="D5" s="196"/>
      <c r="E5" s="196">
        <v>463922</v>
      </c>
      <c r="F5" s="196">
        <v>362568</v>
      </c>
      <c r="G5" s="196"/>
      <c r="H5" s="197"/>
      <c r="I5" s="197"/>
      <c r="J5" s="6"/>
      <c r="K5" s="43" t="s">
        <v>408</v>
      </c>
      <c r="L5" s="36"/>
    </row>
    <row r="6" spans="1:12" ht="15.75" customHeight="1">
      <c r="B6" s="118" t="s">
        <v>400</v>
      </c>
      <c r="C6" s="196"/>
      <c r="D6" s="196"/>
      <c r="E6" s="196">
        <v>32405</v>
      </c>
      <c r="F6" s="196">
        <v>34776</v>
      </c>
      <c r="G6" s="196"/>
      <c r="H6" s="197"/>
      <c r="I6" s="197"/>
      <c r="J6" s="6"/>
      <c r="K6" s="43"/>
      <c r="L6" s="36"/>
    </row>
    <row r="7" spans="1:12" ht="15.75" customHeight="1">
      <c r="B7" s="118" t="s">
        <v>401</v>
      </c>
      <c r="C7" s="196"/>
      <c r="D7" s="196"/>
      <c r="E7" s="196">
        <v>26963</v>
      </c>
      <c r="F7" s="196">
        <v>23083</v>
      </c>
      <c r="G7" s="196"/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699593</v>
      </c>
      <c r="D8" s="198">
        <f>Data!E7</f>
        <v>1028541</v>
      </c>
      <c r="E8" s="198">
        <f>Data!D7</f>
        <v>1198013</v>
      </c>
      <c r="F8" s="198">
        <f>Data!C7</f>
        <v>924200</v>
      </c>
      <c r="G8" s="200">
        <f>F8*0.75</f>
        <v>693150</v>
      </c>
      <c r="H8" s="200"/>
      <c r="I8" s="201"/>
      <c r="J8" s="6"/>
      <c r="K8" s="43"/>
      <c r="L8" s="36"/>
    </row>
    <row r="9" spans="1:12" ht="15.75" customHeight="1">
      <c r="B9" s="14" t="s">
        <v>347</v>
      </c>
      <c r="C9" s="285"/>
      <c r="D9" s="171">
        <f>D8/C8-1</f>
        <v>0.47019910147757349</v>
      </c>
      <c r="E9" s="171">
        <f>E8/D8-1</f>
        <v>0.16476931887012758</v>
      </c>
      <c r="F9" s="171">
        <f>Data!C8</f>
        <v>-0.22855595056147138</v>
      </c>
      <c r="G9" s="149">
        <f>G8/F8-1</f>
        <v>-0.25</v>
      </c>
      <c r="H9" s="149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336621</v>
      </c>
      <c r="D10" s="202">
        <f>Data!E9</f>
        <v>398163</v>
      </c>
      <c r="E10" s="202">
        <f>Data!D9</f>
        <v>270763</v>
      </c>
      <c r="F10" s="202">
        <f>Data!C9</f>
        <v>149665</v>
      </c>
      <c r="G10" s="203">
        <f>G8*(1-G11)</f>
        <v>194082.00000000003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0.51883309295547553</v>
      </c>
      <c r="D11" s="96">
        <f t="shared" si="0"/>
        <v>0.61288563119992301</v>
      </c>
      <c r="E11" s="96">
        <f t="shared" si="0"/>
        <v>0.77398993166184338</v>
      </c>
      <c r="F11" s="96">
        <f>(F8-F10)/F8</f>
        <v>0.83805994373512227</v>
      </c>
      <c r="G11" s="208">
        <v>0.72</v>
      </c>
      <c r="H11" s="208"/>
      <c r="I11" s="208"/>
      <c r="J11" s="6"/>
      <c r="K11" s="43"/>
    </row>
    <row r="12" spans="1:12" ht="15.75" customHeight="1">
      <c r="B12" s="5" t="s">
        <v>346</v>
      </c>
      <c r="C12" s="51">
        <f>C8-C10</f>
        <v>362972</v>
      </c>
      <c r="D12" s="51">
        <f t="shared" ref="D12:E12" si="1">D8-D10</f>
        <v>630378</v>
      </c>
      <c r="E12" s="51">
        <f t="shared" si="1"/>
        <v>927250</v>
      </c>
      <c r="F12" s="51">
        <f>F8-F10</f>
        <v>774535</v>
      </c>
      <c r="G12" s="51">
        <f>G8-G10</f>
        <v>499068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0.13485983993550535</v>
      </c>
      <c r="D13" s="54">
        <f t="shared" ref="D13:E13" si="2">D14/D8</f>
        <v>0.12077496181484258</v>
      </c>
      <c r="E13" s="54">
        <f t="shared" si="2"/>
        <v>0.29749343287593705</v>
      </c>
      <c r="F13" s="54">
        <f>F14/F8</f>
        <v>0.43081475871023589</v>
      </c>
      <c r="G13" s="207">
        <f>G14/G8</f>
        <v>0.60314066219433027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94347</v>
      </c>
      <c r="D14" s="198">
        <f>Data!E11</f>
        <v>124222</v>
      </c>
      <c r="E14" s="198">
        <f>Data!D11</f>
        <v>356401</v>
      </c>
      <c r="F14" s="198">
        <f>Data!C11</f>
        <v>398159</v>
      </c>
      <c r="G14" s="161">
        <f>F14*1.05</f>
        <v>418066.95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0.38397325301997021</v>
      </c>
      <c r="D15" s="166">
        <f t="shared" si="3"/>
        <v>0.49211066938508041</v>
      </c>
      <c r="E15" s="166">
        <f t="shared" si="3"/>
        <v>0.47649649878590633</v>
      </c>
      <c r="F15" s="166">
        <f>F17/F8</f>
        <v>0.40724518502488638</v>
      </c>
      <c r="G15" s="166">
        <f>G17/G8</f>
        <v>0.11685933780566975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0.8842475570032573</v>
      </c>
      <c r="E16" s="171">
        <f t="shared" si="4"/>
        <v>0.12781237405068802</v>
      </c>
      <c r="F16" s="171">
        <f>F17/E17-1</f>
        <v>-0.34067327787208179</v>
      </c>
      <c r="G16" s="149">
        <f>IF(ABS(F17+G17)=ABS(F17)+ABS(G17),IF(G17&lt;0,-1,1)*(G17-F17)/F17,"Turn")</f>
        <v>-0.78478688864327162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268625</v>
      </c>
      <c r="D17" s="154">
        <f t="shared" si="5"/>
        <v>506156</v>
      </c>
      <c r="E17" s="154">
        <f>E12-E14</f>
        <v>570849</v>
      </c>
      <c r="F17" s="154">
        <f>F12-F14</f>
        <v>376376</v>
      </c>
      <c r="G17" s="154">
        <f>G12-G14</f>
        <v>81001.049999999988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0.30543388876866479</v>
      </c>
      <c r="G19" s="149">
        <f>G20/G8</f>
        <v>8.7644503354252321E-2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282282</v>
      </c>
      <c r="G20" s="210">
        <f>IF(G17="","",IF(G17&lt;=0,G17,G17*(1-G18)))</f>
        <v>60750.787499999991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337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318" t="s">
        <v>393</v>
      </c>
      <c r="C22" s="319"/>
      <c r="D22" s="319">
        <v>42678</v>
      </c>
      <c r="E22" s="319">
        <v>76980</v>
      </c>
      <c r="F22" s="319">
        <v>105067</v>
      </c>
      <c r="G22" s="320">
        <f>F22*(F22/E22)</f>
        <v>143401.85098726943</v>
      </c>
      <c r="H22" s="320"/>
      <c r="I22" s="320"/>
    </row>
    <row r="23" spans="2:12" ht="15.75" customHeight="1">
      <c r="B23" s="14" t="s">
        <v>391</v>
      </c>
      <c r="C23" s="288"/>
      <c r="D23" s="288"/>
      <c r="E23" s="288"/>
      <c r="F23" s="95">
        <f>Data!C33+IF(Data!C58="yes",Data!C60,0)</f>
        <v>456185</v>
      </c>
      <c r="G23" s="161">
        <f>F23</f>
        <v>456185</v>
      </c>
      <c r="H23" s="161"/>
      <c r="I23" s="161" t="str">
        <f>IF(I15="","",IF(ABS(H24+I24)=ABS(H24)+ABS(I24),IF(I24&lt;0,-1,1)*(I24-H24)/H24,"Turn"))</f>
        <v/>
      </c>
    </row>
    <row r="24" spans="2:12" ht="15.75" customHeight="1">
      <c r="B24" s="85" t="s">
        <v>339</v>
      </c>
      <c r="C24" s="289"/>
      <c r="D24" s="289"/>
      <c r="E24" s="289"/>
      <c r="F24" s="214">
        <f>F21-F22+F23</f>
        <v>351118</v>
      </c>
      <c r="G24" s="214">
        <f>IF(G15="","",G21-G22+G23)</f>
        <v>312783.14901273057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>
      <c r="B25" s="14" t="s">
        <v>334</v>
      </c>
      <c r="C25" s="285"/>
      <c r="D25" s="285"/>
      <c r="E25" s="285"/>
      <c r="F25" s="171">
        <f>AVERAGE(Data!C54:E54)</f>
        <v>-1.8592683967560992E-2</v>
      </c>
      <c r="G25" s="387"/>
      <c r="H25" s="388"/>
      <c r="I25" s="389"/>
    </row>
    <row r="26" spans="2:12" ht="15.75" customHeight="1">
      <c r="B26" s="84" t="s">
        <v>123</v>
      </c>
      <c r="C26" s="289"/>
      <c r="D26" s="289"/>
      <c r="E26" s="289"/>
      <c r="F26" s="214">
        <f>F20-F24</f>
        <v>-68836</v>
      </c>
      <c r="G26" s="214">
        <f>G20-G24</f>
        <v>-252032.3615127306</v>
      </c>
      <c r="H26" s="214" t="str">
        <f>IF(H20="","",H20-H24)</f>
        <v/>
      </c>
      <c r="I26" s="214" t="str">
        <f>IF(I20="","",I20-I24)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C22:G22">
    <cfRule type="containsBlanks" priority="2">
      <formula>LEN(TRIM(C22))=0</formula>
    </cfRule>
  </conditionalFormatting>
  <conditionalFormatting sqref="C22:I22">
    <cfRule type="containsBlanks" dxfId="13" priority="1">
      <formula>LEN(TRIM(C22))=0</formula>
    </cfRule>
  </conditionalFormatting>
  <conditionalFormatting sqref="G18:G20">
    <cfRule type="containsBlanks" dxfId="12" priority="22">
      <formula>LEN(TRIM(G18))=0</formula>
    </cfRule>
  </conditionalFormatting>
  <conditionalFormatting sqref="G25">
    <cfRule type="containsBlanks" dxfId="11" priority="11">
      <formula>LEN(TRIM(G25))=0</formula>
    </cfRule>
  </conditionalFormatting>
  <conditionalFormatting sqref="H10:H13 H15:H17">
    <cfRule type="containsBlanks" priority="31">
      <formula>LEN(TRIM(H10))=0</formula>
    </cfRule>
  </conditionalFormatting>
  <conditionalFormatting sqref="H10:H21">
    <cfRule type="containsBlanks" dxfId="10" priority="30">
      <formula>LEN(TRIM(H10))=0</formula>
    </cfRule>
  </conditionalFormatting>
  <conditionalFormatting sqref="H20:I20">
    <cfRule type="containsBlanks" dxfId="9" priority="24">
      <formula>LEN(TRIM(H20))=0</formula>
    </cfRule>
  </conditionalFormatting>
  <conditionalFormatting sqref="H21:I24">
    <cfRule type="containsBlanks" dxfId="8" priority="3">
      <formula>LEN(TRIM(H21))=0</formula>
    </cfRule>
    <cfRule type="containsBlanks" priority="4">
      <formula>LEN(TRIM(H21))=0</formula>
    </cfRule>
  </conditionalFormatting>
  <conditionalFormatting sqref="H26:I26">
    <cfRule type="containsBlanks" dxfId="7" priority="12">
      <formula>LEN(TRIM(H26))=0</formula>
    </cfRule>
    <cfRule type="containsBlanks" priority="13">
      <formula>LEN(TRIM(H26))=0</formula>
    </cfRule>
  </conditionalFormatting>
  <conditionalFormatting sqref="I9:I17">
    <cfRule type="containsBlanks" priority="27">
      <formula>LEN(TRIM(I9))=0</formula>
    </cfRule>
  </conditionalFormatting>
  <conditionalFormatting sqref="I9:I21">
    <cfRule type="containsBlanks" dxfId="6" priority="26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ColWidth="8.81640625"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384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385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386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387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345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348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358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349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350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351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352</v>
      </c>
      <c r="J76" s="296"/>
      <c r="K76" s="296"/>
      <c r="L76" s="296"/>
      <c r="M76" s="296"/>
    </row>
    <row r="78" spans="2:13" ht="13">
      <c r="B78" s="297" t="s">
        <v>357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355</v>
      </c>
      <c r="J80" s="295"/>
      <c r="K80" s="295"/>
      <c r="L80" s="295"/>
      <c r="M80" s="295"/>
    </row>
    <row r="81" spans="2:13">
      <c r="B81" s="292" t="s">
        <v>356</v>
      </c>
      <c r="J81" s="295"/>
      <c r="K81" s="295"/>
      <c r="L81" s="295"/>
      <c r="M81" s="295"/>
    </row>
    <row r="82" spans="2:13">
      <c r="B82" s="292" t="s">
        <v>354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359</v>
      </c>
      <c r="J104" s="298">
        <f>Data!F19</f>
        <v>-1081638</v>
      </c>
      <c r="K104" s="298">
        <f>Data!E19</f>
        <v>-717056</v>
      </c>
      <c r="L104" s="298">
        <f>Data!D19</f>
        <v>-12991790</v>
      </c>
      <c r="M104" s="298">
        <f>Data!C19</f>
        <v>-13458</v>
      </c>
    </row>
    <row r="105" spans="2:13">
      <c r="B105" t="s">
        <v>360</v>
      </c>
      <c r="J105" s="298">
        <f>Data!F33</f>
        <v>0</v>
      </c>
      <c r="K105" s="298">
        <f>Data!E33</f>
        <v>89534</v>
      </c>
      <c r="L105" s="298">
        <f>Data!D33</f>
        <v>101343</v>
      </c>
      <c r="M105" s="298">
        <f>Data!C33</f>
        <v>105067</v>
      </c>
    </row>
    <row r="106" spans="2:13">
      <c r="B106" t="s">
        <v>361</v>
      </c>
      <c r="J106" s="298">
        <f>Data!F40</f>
        <v>0</v>
      </c>
      <c r="K106" s="298">
        <f>Data!E40</f>
        <v>0</v>
      </c>
      <c r="L106" s="298">
        <f>Data!D40</f>
        <v>0</v>
      </c>
      <c r="M106" s="298">
        <f>Data!C40</f>
        <v>0</v>
      </c>
    </row>
    <row r="107" spans="2:13">
      <c r="B107" t="s">
        <v>362</v>
      </c>
      <c r="J107">
        <v>0</v>
      </c>
      <c r="K107">
        <v>0</v>
      </c>
      <c r="L107" s="298">
        <f>Data!D41</f>
        <v>246343</v>
      </c>
      <c r="M107" s="298">
        <f>Data!C41</f>
        <v>58526</v>
      </c>
    </row>
    <row r="108" spans="2:13">
      <c r="B108" t="s">
        <v>364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366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367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368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7" zoomScaleNormal="100" zoomScalePageLayoutView="80" workbookViewId="0">
      <selection activeCell="D44" sqref="D4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329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282282</v>
      </c>
      <c r="D4" s="243">
        <f>IF(B4="NOPAT",Projections!G20,Projections!G8)</f>
        <v>60750.787499999991</v>
      </c>
      <c r="E4" s="243" t="str">
        <f>IF(Projections!H8="","",IF(B4="NOPAT",Projections!H20,Projections!H8))</f>
        <v/>
      </c>
      <c r="F4" s="243" t="str">
        <f>IF(Projections!I8="","",IF(B4="NOPAT",Projections!I20,Projections!I8))</f>
        <v/>
      </c>
      <c r="G4" s="244">
        <f>IF(F3="",IF(E3="",1,2),3)</f>
        <v>1</v>
      </c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-0.78478688864327162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1.243855435344797</v>
      </c>
      <c r="D6" s="171">
        <f>D7/D4</f>
        <v>5.1486270694471346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351118</v>
      </c>
      <c r="D7" s="313">
        <f>Projections!G24</f>
        <v>312783.14901273057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-68836</v>
      </c>
      <c r="D8" s="210">
        <f>Projections!G20-D7</f>
        <v>-252032.3615127306</v>
      </c>
      <c r="E8" s="210" t="str">
        <f>IF(E4="","",Projections!H20-E7)</f>
        <v/>
      </c>
      <c r="F8" s="210" t="str">
        <f>IF(F4="","",Projections!I20-F7)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-3.4121822580005554E-2</v>
      </c>
      <c r="D9" s="248">
        <f>D8/(Common_Shares/Data!$C$4)</f>
        <v>-0.12493177296701163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-0.12493177296701163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9.6000000000000002E-2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1.0960000000000001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>
      <c r="B15" s="37" t="s">
        <v>201</v>
      </c>
      <c r="C15" s="51">
        <f>Asset_Model!E62</f>
        <v>5959549.4500000002</v>
      </c>
      <c r="D15" s="106">
        <f>C15*Data!C4/Common_Shares</f>
        <v>2.9541328518459768</v>
      </c>
      <c r="E15" s="52" t="s">
        <v>199</v>
      </c>
      <c r="G15" s="199">
        <f>C15+C16+C17+C18</f>
        <v>5818065.8906354504</v>
      </c>
    </row>
    <row r="16" spans="1:10" ht="15.75" customHeight="1">
      <c r="B16" s="37" t="s">
        <v>205</v>
      </c>
      <c r="C16" s="51">
        <f>Asset_Model!E61</f>
        <v>482581.85</v>
      </c>
      <c r="D16" s="106">
        <f>C16*Data!C4/Common_Shares</f>
        <v>0.23921454276876711</v>
      </c>
      <c r="E16" s="52" t="s">
        <v>274</v>
      </c>
      <c r="G16" s="264">
        <f>(G15+MIN(D4,0))*Data!C$4/Common_Shares</f>
        <v>2.8839998268209195</v>
      </c>
    </row>
    <row r="17" spans="1:9" ht="15.75" customHeight="1">
      <c r="B17" s="37" t="s">
        <v>192</v>
      </c>
      <c r="C17" s="51">
        <f>-Asset_Model!D55</f>
        <v>-624702</v>
      </c>
      <c r="D17" s="106">
        <f>C17*Data!C4/Common_Shares</f>
        <v>-0.30966312408295993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636.59063545042068</v>
      </c>
      <c r="D18" s="106">
        <f>C18*Data!C4/Common_Shares</f>
        <v>3.1555628913551407E-4</v>
      </c>
      <c r="E18" s="342"/>
      <c r="F18" s="89">
        <f>D15+(MIN(D4,0)*Data!C$4/Common_Shares)</f>
        <v>2.9541328518459768</v>
      </c>
      <c r="G18" s="88">
        <f>SUM(D16:D18)</f>
        <v>-7.0133025025057305E-2</v>
      </c>
    </row>
    <row r="19" spans="1:9" ht="15.75" customHeight="1">
      <c r="F19" s="6"/>
      <c r="G19" s="6"/>
    </row>
    <row r="20" spans="1:9" ht="15.75" customHeight="1">
      <c r="B20" s="20" t="s">
        <v>328</v>
      </c>
      <c r="C20" s="100" t="str">
        <f>B3</f>
        <v>(Numbers in 1000CNY)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1</v>
      </c>
      <c r="C21" s="265" t="s">
        <v>189</v>
      </c>
      <c r="D21" s="38" t="s">
        <v>325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10</v>
      </c>
      <c r="D22" s="268"/>
      <c r="E22" s="239">
        <f>IF(D22="",IF(G9&lt;0,G9,G9*C22/G11),D22)</f>
        <v>-0.12493177296701163</v>
      </c>
      <c r="F22" s="239">
        <f>SUM(D12:F12)+E22+$G$16</f>
        <v>2.7590680538539081</v>
      </c>
      <c r="G22" s="271">
        <f>F22*Exchange_Rate</f>
        <v>2.9902852967329765</v>
      </c>
      <c r="I22" s="43"/>
    </row>
    <row r="23" spans="1:9" ht="15.75" customHeight="1">
      <c r="B23" s="132" t="s">
        <v>249</v>
      </c>
      <c r="C23" s="269">
        <v>15</v>
      </c>
      <c r="D23" s="270"/>
      <c r="E23" s="98">
        <f>IF(D23="",IF(G9&lt;0,G9,G9*C23/G11),D23)</f>
        <v>-0.12493177296701163</v>
      </c>
      <c r="F23" s="98">
        <f>SUM(D12:F12)+E23+$G$16</f>
        <v>2.7590680538539081</v>
      </c>
      <c r="G23" s="272">
        <f>F23*Exchange_Rate</f>
        <v>2.9902852967329765</v>
      </c>
      <c r="I23" s="43"/>
    </row>
    <row r="24" spans="1:9" ht="15.5" customHeight="1">
      <c r="C24" s="6"/>
      <c r="D24" s="6"/>
      <c r="E24" s="391" t="s">
        <v>333</v>
      </c>
      <c r="F24" s="392"/>
      <c r="G24" s="143">
        <f>MIN(G22,G23)+ABS(G22-G23)*Qualitative_Analysis!$E$64</f>
        <v>2.9902852967329765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-68836</v>
      </c>
      <c r="D28" s="51">
        <f>D8</f>
        <v>-252032.3615127306</v>
      </c>
      <c r="E28" s="51" t="str">
        <f>E8</f>
        <v/>
      </c>
      <c r="F28" s="51" t="str">
        <f>F8</f>
        <v/>
      </c>
      <c r="G28" s="161"/>
      <c r="I28" s="43" t="s">
        <v>316</v>
      </c>
    </row>
    <row r="29" spans="1:9" ht="15.75" customHeight="1">
      <c r="B29" s="141" t="s">
        <v>298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307</v>
      </c>
      <c r="C30" s="95">
        <f>MAX(Asset_Model!D55,0)</f>
        <v>624702</v>
      </c>
      <c r="D30" s="150">
        <f>C30*1.1</f>
        <v>687172.20000000007</v>
      </c>
      <c r="E30" s="161"/>
      <c r="F30" s="161"/>
      <c r="G30" s="161"/>
      <c r="I30" s="43" t="s">
        <v>308</v>
      </c>
    </row>
    <row r="31" spans="1:9" ht="15.75" customHeight="1">
      <c r="B31" s="141" t="s">
        <v>312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311</v>
      </c>
      <c r="C32" s="276">
        <f>C30*(C29*(1-Projections!F18))</f>
        <v>18741.059999999998</v>
      </c>
      <c r="D32" s="276">
        <f>(D30*D29)*(1-D31)</f>
        <v>20615.166000000001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299</v>
      </c>
      <c r="C33" s="51">
        <f>C28-C32</f>
        <v>-87577.06</v>
      </c>
      <c r="D33" s="210">
        <f>D28-D32</f>
        <v>-272647.52751273062</v>
      </c>
      <c r="E33" s="210" t="str">
        <f>IF(E28="","",E28-E32)</f>
        <v/>
      </c>
      <c r="F33" s="210" t="str">
        <f>IF(F28="","",F28-F32)</f>
        <v/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-4.3411716302494345E-2</v>
      </c>
      <c r="D34" s="245">
        <f>D33/(Common_Shares/Data!$C$4)</f>
        <v>-0.13515065606174934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-0.13515065606174934</v>
      </c>
      <c r="H34" s="6"/>
      <c r="I34" s="43"/>
    </row>
    <row r="35" spans="1:9" ht="15.75" customHeight="1">
      <c r="B35" s="141" t="s">
        <v>305</v>
      </c>
      <c r="C35" s="273">
        <f>Dashboard!C31</f>
        <v>1.8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9.6000000000000002E-2</v>
      </c>
      <c r="I35" s="43"/>
    </row>
    <row r="36" spans="1:9" ht="15.75" customHeight="1" thickBot="1">
      <c r="B36" s="142" t="s">
        <v>304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0.17280000000000001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0.16497688723448564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-0.30795065606174932</v>
      </c>
      <c r="I37" s="43" t="s">
        <v>302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1.0204013315910039</v>
      </c>
      <c r="I38" s="43"/>
    </row>
    <row r="39" spans="1:9" ht="15.75" customHeight="1">
      <c r="B39" s="85" t="s">
        <v>310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-0.30179366346140929</v>
      </c>
      <c r="I39" s="43"/>
    </row>
    <row r="40" spans="1:9" ht="15.75" customHeight="1">
      <c r="B40" s="20" t="s">
        <v>331</v>
      </c>
      <c r="C40" s="6"/>
      <c r="D40" s="6"/>
      <c r="E40" s="393" t="s">
        <v>320</v>
      </c>
      <c r="F40" s="371"/>
      <c r="G40" s="280">
        <f>Asset_Model!D7</f>
        <v>2.7587535166510064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2.6628596251526484</v>
      </c>
    </row>
    <row r="42" spans="1:9" ht="15.75" customHeight="1"/>
    <row r="43" spans="1:9" ht="15.75" customHeight="1">
      <c r="A43" s="4"/>
      <c r="B43" s="254" t="s">
        <v>332</v>
      </c>
      <c r="C43" s="6"/>
      <c r="D43" s="6"/>
      <c r="E43" s="22" t="s">
        <v>189</v>
      </c>
      <c r="F43" s="22" t="s">
        <v>326</v>
      </c>
      <c r="G43" s="22" t="s">
        <v>327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2.8003784072163862</v>
      </c>
      <c r="D44" s="262" t="str">
        <f>Dashboard!J4</f>
        <v>HKD</v>
      </c>
      <c r="E44" s="263">
        <f ca="1">(C44-G16)/C9</f>
        <v>2.4506727156342794</v>
      </c>
      <c r="F44" s="263">
        <f ca="1">C44/(Data!C29*Exchange_Rate*Data!C4/Common_Shares)</f>
        <v>0.52353050674906654</v>
      </c>
      <c r="G44" s="263">
        <f ca="1">(C44*Common_Shares)/(Data!$C$7*Data!$C$4*Exchange_Rate)</f>
        <v>5.6400629185255022</v>
      </c>
      <c r="I44" s="43"/>
    </row>
    <row r="45" spans="1:9" ht="15.75" customHeight="1">
      <c r="B45" s="6" t="s">
        <v>313</v>
      </c>
      <c r="C45" s="255">
        <v>3</v>
      </c>
      <c r="D45" s="256" t="str">
        <f>D44</f>
        <v>HKD</v>
      </c>
      <c r="E45" s="223">
        <f>(C45-G16)/C9</f>
        <v>-3.3995890139541789</v>
      </c>
      <c r="F45" s="223">
        <f>C45/(Asset_Model!I3*Exchange_Rate*Data!C4/Common_Shares)</f>
        <v>0.59408493582822208</v>
      </c>
      <c r="G45" s="223">
        <f>(C45*Common_Shares)/(Data!$C$7*Data!$C$4*Exchange_Rate)</f>
        <v>6.042107992253591</v>
      </c>
      <c r="I45" s="43"/>
    </row>
    <row r="46" spans="1:9" ht="15.75" customHeight="1">
      <c r="B46" s="257" t="s">
        <v>314</v>
      </c>
      <c r="C46" s="258">
        <f ca="1">MIN(C45,C44)+ABS(C45-C44)*Qualitative_Analysis!E64</f>
        <v>2.8814594021220161</v>
      </c>
      <c r="D46" s="256" t="str">
        <f>D45</f>
        <v>HKD</v>
      </c>
      <c r="E46" s="223">
        <f ca="1">(C46-G16)/C9</f>
        <v>7.4451612100931097E-2</v>
      </c>
      <c r="F46" s="223">
        <f ca="1">C46/(Asset_Model!I3*Exchange_Rate*Data!C4/Common_Shares)</f>
        <v>0.57061054133376177</v>
      </c>
      <c r="G46" s="223">
        <f ca="1">(C46*Common_Shares)/(Data!$C$7*Data!$C$4*Exchange_Rate)</f>
        <v>5.8033629609718966</v>
      </c>
    </row>
    <row r="47" spans="1:9" ht="15.75" customHeight="1">
      <c r="B47" s="84" t="s">
        <v>279</v>
      </c>
      <c r="C47" s="259">
        <f ca="1">MAX(G41,C44)/(1+Dashboard!I14)</f>
        <v>2.240302725773109</v>
      </c>
      <c r="D47" s="260" t="str">
        <f>D45</f>
        <v>HKD</v>
      </c>
      <c r="E47" s="224">
        <f ca="1">(C47-G16)/C9</f>
        <v>18.864675224734309</v>
      </c>
      <c r="F47" s="224">
        <f ca="1">C47/(Asset_Model!I3*Exchange_Rate*Data!C4/Common_Shares)</f>
        <v>0.4436433670255695</v>
      </c>
      <c r="G47" s="224">
        <f ca="1">(C47*Common_Shares)/(Data!$C$7*Data!$C$4*Exchange_Rate)</f>
        <v>4.512050334820402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13" zoomScaleNormal="100" workbookViewId="0">
      <selection activeCell="E60" sqref="E60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0</v>
      </c>
      <c r="E3" s="216" t="s">
        <v>150</v>
      </c>
      <c r="G3" s="47"/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3</v>
      </c>
      <c r="E4" s="175" t="s">
        <v>128</v>
      </c>
      <c r="G4" s="45"/>
    </row>
    <row r="5" spans="1:7" ht="14">
      <c r="B5" s="6" t="s">
        <v>228</v>
      </c>
      <c r="C5" s="60"/>
      <c r="D5" s="58">
        <f>AVERAGE(D12:D16)</f>
        <v>1.8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1.6800000000000002</v>
      </c>
      <c r="E8" s="215">
        <f>D8/4</f>
        <v>0.42000000000000004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3</v>
      </c>
      <c r="E13" s="175" t="s">
        <v>128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336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2</v>
      </c>
      <c r="E15" s="175" t="s">
        <v>127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1</v>
      </c>
      <c r="E16" s="175" t="s">
        <v>135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/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0.4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>
      <c r="B32" s="32" t="s">
        <v>236</v>
      </c>
      <c r="D32" s="63">
        <f t="shared" si="3"/>
        <v>1</v>
      </c>
      <c r="E32" s="175" t="s">
        <v>135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>
      <c r="B35" s="32" t="s">
        <v>254</v>
      </c>
      <c r="D35" s="63">
        <f t="shared" si="3"/>
        <v>4</v>
      </c>
      <c r="E35" s="175" t="s">
        <v>137</v>
      </c>
      <c r="G35" s="119" t="s">
        <v>403</v>
      </c>
    </row>
    <row r="36" spans="2:7" ht="15" customHeight="1">
      <c r="B36" s="1" t="s">
        <v>151</v>
      </c>
      <c r="D36" s="64">
        <f>SUM(D37:D41)/(5*4)</f>
        <v>1</v>
      </c>
      <c r="E36" s="18" t="str">
        <f>IF(D36&gt;80%,"Very High",IF(D36&lt;=20%,"Very Low",IF(D36&lt;=40%,"Low",IF(D36&lt;=60%,"Medium","High"))))</f>
        <v>Very 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4</v>
      </c>
      <c r="E41" s="175" t="s">
        <v>137</v>
      </c>
      <c r="G41" s="119"/>
    </row>
    <row r="42" spans="2:7" ht="15" customHeight="1">
      <c r="B42" s="1" t="s">
        <v>153</v>
      </c>
      <c r="D42" s="64">
        <f>SUM(D43:D48)/(6*4)</f>
        <v>0.54166666666666663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1</v>
      </c>
      <c r="E43" s="175" t="s">
        <v>135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0.64319727891156453</v>
      </c>
      <c r="E49" s="18" t="str">
        <f>IF(D49&gt;80%,"Very High",IF(D49&lt;=20%,"Very Low",IF(D49&lt;=40%,"Low",IF(D49&lt;=60%,"Medium","High"))))</f>
        <v>High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4</v>
      </c>
      <c r="E51" s="175" t="s">
        <v>137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3.8639455782312924</v>
      </c>
      <c r="E54" s="175" t="s">
        <v>169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0.54166666666666663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2</v>
      </c>
      <c r="E59" s="175" t="s">
        <v>127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2</v>
      </c>
      <c r="E60" s="175" t="s">
        <v>127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0.37469387755102046</v>
      </c>
      <c r="E62" s="18" t="str">
        <f>IF(D62&gt;80%,"Very Low",IF(D62&lt;=20%,"Very High",IF(D62&lt;=40%,"High",IF(D62&lt;=60%,"Medium","Low"))))</f>
        <v>High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1.6246938775510205</v>
      </c>
      <c r="E64" s="217">
        <f>AVERAGE(AVERAGE(D12:D16)/4,AVERAGE(D18:D22)/4,AVERAGE(D24:D28)/4,D62)</f>
        <v>0.40617346938775512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2023-09-14T02:35:24Z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