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2321D18E-594F-4DC5-9CB1-31B531227F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20" i="5" l="1"/>
  <c r="D20" i="2"/>
  <c r="E20" i="2"/>
  <c r="F20" i="2"/>
  <c r="G20" i="2"/>
  <c r="H20" i="2"/>
  <c r="I20" i="2"/>
  <c r="J20" i="2"/>
  <c r="K20" i="2"/>
  <c r="L20" i="2"/>
  <c r="M20" i="2"/>
  <c r="C20" i="2"/>
  <c r="D29" i="4"/>
  <c r="F12" i="4"/>
  <c r="G19" i="7"/>
  <c r="F15" i="4"/>
  <c r="E15" i="4"/>
  <c r="I19" i="7"/>
  <c r="I24" i="7" s="1"/>
  <c r="I25" i="7"/>
  <c r="G22" i="7"/>
  <c r="D14" i="4"/>
  <c r="I20" i="7" l="1"/>
  <c r="E14" i="4" l="1"/>
  <c r="E16" i="1"/>
  <c r="D15" i="4"/>
  <c r="C14" i="4"/>
  <c r="G24" i="7"/>
  <c r="E25" i="7"/>
  <c r="G25" i="7"/>
  <c r="E21" i="7"/>
  <c r="E18" i="7"/>
  <c r="E13" i="7"/>
  <c r="E8" i="7"/>
  <c r="C25" i="7"/>
  <c r="D18" i="7"/>
  <c r="D13" i="7"/>
  <c r="D8" i="7"/>
  <c r="C19" i="7"/>
  <c r="C18" i="7"/>
  <c r="C13" i="7"/>
  <c r="C8" i="7"/>
  <c r="C40" i="3"/>
  <c r="G16" i="3"/>
  <c r="E19" i="7" l="1"/>
  <c r="I21" i="7"/>
  <c r="I23" i="7" s="1"/>
  <c r="I28" i="7" s="1"/>
  <c r="E12" i="4"/>
  <c r="E11" i="4" s="1"/>
  <c r="D12" i="4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6" i="7" l="1"/>
  <c r="F8" i="7" l="1"/>
  <c r="F18" i="7"/>
  <c r="F13" i="7"/>
  <c r="G21" i="7"/>
  <c r="G20" i="7"/>
  <c r="E24" i="7"/>
  <c r="I4" i="3" l="1"/>
  <c r="D4" i="3"/>
  <c r="D6" i="1"/>
  <c r="E9" i="3"/>
  <c r="C3" i="7" l="1"/>
  <c r="C33" i="4"/>
  <c r="C3" i="4" l="1"/>
  <c r="E3" i="7"/>
  <c r="G38" i="4"/>
  <c r="C18" i="4"/>
  <c r="B3" i="4"/>
  <c r="C20" i="4" s="1"/>
  <c r="F4" i="4"/>
  <c r="G23" i="7"/>
  <c r="C21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7" i="4"/>
  <c r="D38" i="4" s="1"/>
  <c r="D3" i="4" l="1"/>
  <c r="G3" i="7"/>
  <c r="E3" i="4" s="1"/>
  <c r="G28" i="7"/>
  <c r="C58" i="3"/>
  <c r="C22" i="7"/>
  <c r="E23" i="7" s="1"/>
  <c r="C24" i="7"/>
  <c r="B3" i="7"/>
  <c r="C23" i="7"/>
  <c r="C28" i="7" s="1"/>
  <c r="E20" i="7"/>
  <c r="D6" i="4"/>
  <c r="F6" i="4" s="1"/>
  <c r="F7" i="4" s="1"/>
  <c r="G26" i="7" l="1"/>
  <c r="I27" i="7"/>
  <c r="E4" i="4"/>
  <c r="E6" i="4" s="1"/>
  <c r="I32" i="3"/>
  <c r="E28" i="7"/>
  <c r="D4" i="4" s="1"/>
  <c r="C26" i="7"/>
  <c r="C4" i="4"/>
  <c r="D53" i="3"/>
  <c r="D52" i="3" s="1"/>
  <c r="C23" i="4" s="1"/>
  <c r="D23" i="4" s="1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3" i="7" l="1"/>
  <c r="F3" i="4" s="1"/>
  <c r="B28" i="4" s="1"/>
  <c r="B27" i="4" s="1"/>
  <c r="F5" i="4"/>
  <c r="G27" i="7"/>
  <c r="E5" i="4" s="1"/>
  <c r="E7" i="4"/>
  <c r="C7" i="1"/>
  <c r="E27" i="7"/>
  <c r="D5" i="4" s="1"/>
  <c r="E26" i="7"/>
  <c r="C44" i="3"/>
  <c r="C25" i="3"/>
  <c r="E10" i="4" l="1"/>
  <c r="E8" i="4" s="1"/>
  <c r="C45" i="3"/>
  <c r="E12" i="3"/>
  <c r="F9" i="4" l="1"/>
  <c r="D70" i="5"/>
  <c r="E35" i="3" l="1"/>
  <c r="D17" i="5"/>
  <c r="D18" i="5"/>
  <c r="D16" i="5"/>
  <c r="D19" i="5" l="1"/>
  <c r="E19" i="5" s="1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45" i="5"/>
  <c r="D46" i="5"/>
  <c r="D47" i="5"/>
  <c r="D48" i="5"/>
  <c r="D49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E33" i="2"/>
  <c r="D33" i="2"/>
  <c r="C33" i="2"/>
  <c r="C8" i="2"/>
  <c r="C10" i="2"/>
  <c r="M15" i="2"/>
  <c r="D10" i="5"/>
  <c r="D5" i="5"/>
  <c r="D6" i="5"/>
  <c r="D4" i="5"/>
  <c r="C21" i="4" l="1"/>
  <c r="D21" i="4" s="1"/>
  <c r="F24" i="4" s="1"/>
  <c r="C34" i="2"/>
  <c r="C32" i="2"/>
  <c r="D34" i="2"/>
  <c r="D32" i="2"/>
  <c r="E34" i="2"/>
  <c r="E32" i="2"/>
  <c r="F34" i="2"/>
  <c r="F35" i="2" s="1"/>
  <c r="F32" i="2"/>
  <c r="C13" i="2"/>
  <c r="C12" i="2" s="1"/>
  <c r="C16" i="2"/>
  <c r="C45" i="2" s="1"/>
  <c r="E94" i="5"/>
  <c r="B94" i="5"/>
  <c r="E93" i="5"/>
  <c r="B93" i="5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D78" i="5"/>
  <c r="D77" i="5"/>
  <c r="D76" i="5"/>
  <c r="D75" i="5"/>
  <c r="D74" i="5"/>
  <c r="D73" i="5"/>
  <c r="D69" i="5"/>
  <c r="D68" i="5"/>
  <c r="D67" i="5"/>
  <c r="D66" i="5"/>
  <c r="D64" i="5"/>
  <c r="D63" i="5"/>
  <c r="D62" i="5"/>
  <c r="D61" i="5"/>
  <c r="D60" i="5"/>
  <c r="D59" i="5"/>
  <c r="D57" i="5"/>
  <c r="D56" i="5"/>
  <c r="D55" i="5"/>
  <c r="D54" i="5"/>
  <c r="D53" i="5"/>
  <c r="D52" i="5"/>
  <c r="D50" i="5"/>
  <c r="D44" i="5" s="1"/>
  <c r="D42" i="5"/>
  <c r="D41" i="5"/>
  <c r="D40" i="5"/>
  <c r="D39" i="5"/>
  <c r="D38" i="5"/>
  <c r="D36" i="5"/>
  <c r="D35" i="5"/>
  <c r="D34" i="5"/>
  <c r="D33" i="5"/>
  <c r="D30" i="5"/>
  <c r="D29" i="5"/>
  <c r="D28" i="5"/>
  <c r="D27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E22" i="3"/>
  <c r="E18" i="3"/>
  <c r="E21" i="3"/>
  <c r="E13" i="3"/>
  <c r="E17" i="3"/>
  <c r="E15" i="3"/>
  <c r="E14" i="3"/>
  <c r="B54" i="2"/>
  <c r="D53" i="2"/>
  <c r="E53" i="2" s="1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72" i="5" l="1"/>
  <c r="E72" i="5" s="1"/>
  <c r="E32" i="1"/>
  <c r="E33" i="1" s="1"/>
  <c r="E58" i="3"/>
  <c r="D58" i="3" s="1"/>
  <c r="C35" i="2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6" i="4"/>
  <c r="D58" i="5"/>
  <c r="E58" i="5" s="1"/>
  <c r="E24" i="3"/>
  <c r="D22" i="5"/>
  <c r="C46" i="3"/>
  <c r="E3" i="3" s="1"/>
  <c r="D71" i="5" a="1"/>
  <c r="D71" i="5" s="1"/>
  <c r="E44" i="5"/>
  <c r="F16" i="2"/>
  <c r="F45" i="2" s="1"/>
  <c r="K15" i="2"/>
  <c r="L16" i="2"/>
  <c r="L45" i="2" s="1"/>
  <c r="L15" i="2"/>
  <c r="M16" i="2"/>
  <c r="M45" i="2" s="1"/>
  <c r="C71" i="2"/>
  <c r="C17" i="2"/>
  <c r="I9" i="1"/>
  <c r="F15" i="2"/>
  <c r="G15" i="2"/>
  <c r="C68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2" i="2"/>
  <c r="J13" i="2"/>
  <c r="D14" i="2"/>
  <c r="H13" i="2"/>
  <c r="H12" i="2" s="1"/>
  <c r="L13" i="2"/>
  <c r="L12" i="2" s="1"/>
  <c r="F10" i="2"/>
  <c r="J10" i="2"/>
  <c r="J12" i="2" s="1"/>
  <c r="D54" i="2"/>
  <c r="E54" i="2" s="1"/>
  <c r="F54" i="2"/>
  <c r="B53" i="2"/>
  <c r="E14" i="2"/>
  <c r="I14" i="2"/>
  <c r="F4" i="2"/>
  <c r="K13" i="2"/>
  <c r="K12" i="2" s="1"/>
  <c r="B55" i="2"/>
  <c r="C70" i="2"/>
  <c r="E26" i="3"/>
  <c r="D51" i="5"/>
  <c r="D30" i="4" l="1"/>
  <c r="C29" i="4"/>
  <c r="E44" i="3"/>
  <c r="D44" i="3" s="1"/>
  <c r="D24" i="3"/>
  <c r="I16" i="2"/>
  <c r="I45" i="2" s="1"/>
  <c r="I44" i="2"/>
  <c r="E16" i="2"/>
  <c r="E44" i="2"/>
  <c r="D16" i="2"/>
  <c r="D44" i="2"/>
  <c r="C22" i="4"/>
  <c r="D22" i="4" s="1"/>
  <c r="E25" i="3"/>
  <c r="I24" i="3"/>
  <c r="D65" i="5"/>
  <c r="E65" i="5" s="1"/>
  <c r="J9" i="1"/>
  <c r="H15" i="2"/>
  <c r="I15" i="2"/>
  <c r="D15" i="2"/>
  <c r="E15" i="2"/>
  <c r="C15" i="2"/>
  <c r="F12" i="2"/>
  <c r="H17" i="2"/>
  <c r="F17" i="2"/>
  <c r="D55" i="2"/>
  <c r="E55" i="2" s="1"/>
  <c r="B56" i="2"/>
  <c r="F55" i="2"/>
  <c r="E13" i="2"/>
  <c r="E12" i="2" s="1"/>
  <c r="E46" i="3"/>
  <c r="D26" i="3"/>
  <c r="D7" i="4"/>
  <c r="E51" i="5"/>
  <c r="K17" i="2"/>
  <c r="C69" i="2"/>
  <c r="D13" i="2"/>
  <c r="D12" i="2" s="1"/>
  <c r="J17" i="2"/>
  <c r="G17" i="2"/>
  <c r="I13" i="2"/>
  <c r="I12" i="2" s="1"/>
  <c r="L17" i="2"/>
  <c r="D31" i="4" l="1"/>
  <c r="C31" i="4" s="1"/>
  <c r="C30" i="4"/>
  <c r="E45" i="3"/>
  <c r="D45" i="3" s="1"/>
  <c r="D25" i="3"/>
  <c r="E45" i="2"/>
  <c r="E35" i="2"/>
  <c r="D45" i="2"/>
  <c r="D35" i="2"/>
  <c r="I25" i="3"/>
  <c r="D79" i="5"/>
  <c r="E79" i="5" s="1"/>
  <c r="J24" i="3"/>
  <c r="I44" i="3"/>
  <c r="E32" i="5" s="1"/>
  <c r="D56" i="2"/>
  <c r="E56" i="2" s="1"/>
  <c r="B57" i="2"/>
  <c r="F56" i="2"/>
  <c r="E17" i="2"/>
  <c r="D71" i="2"/>
  <c r="I17" i="2"/>
  <c r="D17" i="2"/>
  <c r="D46" i="3"/>
  <c r="I45" i="3" l="1"/>
  <c r="C73" i="2"/>
  <c r="I10" i="1"/>
  <c r="E50" i="3" s="1"/>
  <c r="D50" i="3" s="1"/>
  <c r="J44" i="3"/>
  <c r="D32" i="5"/>
  <c r="D57" i="2"/>
  <c r="E57" i="2" s="1"/>
  <c r="F57" i="2"/>
  <c r="B58" i="2"/>
  <c r="C24" i="4" l="1"/>
  <c r="D60" i="3"/>
  <c r="D58" i="2"/>
  <c r="E58" i="2" s="1"/>
  <c r="F58" i="2"/>
  <c r="B59" i="2"/>
  <c r="D24" i="4" l="1"/>
  <c r="G24" i="4" s="1"/>
  <c r="G21" i="4"/>
  <c r="D49" i="3"/>
  <c r="D6" i="3"/>
  <c r="D7" i="3" s="1"/>
  <c r="D59" i="2"/>
  <c r="E59" i="2" s="1"/>
  <c r="B60" i="2"/>
  <c r="F59" i="2"/>
  <c r="G22" i="4" l="1"/>
  <c r="H16" i="1" s="1"/>
  <c r="E6" i="3"/>
  <c r="D60" i="2"/>
  <c r="E60" i="2" s="1"/>
  <c r="B61" i="2"/>
  <c r="F60" i="2"/>
  <c r="I7" i="3"/>
  <c r="I6" i="3"/>
  <c r="E23" i="4" l="1"/>
  <c r="J16" i="1"/>
  <c r="D61" i="2"/>
  <c r="E61" i="2" s="1"/>
  <c r="B62" i="2"/>
  <c r="F61" i="2"/>
  <c r="D62" i="2" l="1"/>
  <c r="E62" i="2" s="1"/>
  <c r="F62" i="2"/>
  <c r="B63" i="2"/>
  <c r="D63" i="2" l="1"/>
  <c r="E63" i="2" s="1"/>
  <c r="E64" i="2" s="1"/>
  <c r="F63" i="2"/>
  <c r="F65" i="2" s="1"/>
  <c r="D72" i="2" l="1"/>
  <c r="D68" i="2"/>
  <c r="D70" i="2"/>
  <c r="D73" i="2"/>
  <c r="D69" i="2" l="1"/>
  <c r="C7" i="4" l="1"/>
  <c r="J10" i="1"/>
  <c r="F16" i="1" l="1"/>
  <c r="D7" i="5" l="1"/>
  <c r="E7" i="5" l="1"/>
  <c r="E11" i="5"/>
  <c r="D11" i="5" l="1"/>
  <c r="E26" i="5"/>
  <c r="D26" i="5" s="1"/>
  <c r="E81" i="5" s="1"/>
  <c r="D81" i="5" l="1"/>
  <c r="E12" i="5" s="1"/>
  <c r="D12" i="5" s="1"/>
  <c r="D13" i="5" s="1"/>
  <c r="E13" i="5" s="1"/>
  <c r="D11" i="1" s="1"/>
  <c r="D12" i="1" l="1"/>
  <c r="G16" i="4" l="1"/>
  <c r="C16" i="1"/>
  <c r="D16" i="4"/>
  <c r="F16" i="4" l="1"/>
  <c r="D17" i="4"/>
  <c r="D18" i="4" s="1"/>
  <c r="E16" i="4"/>
  <c r="E17" i="4" s="1"/>
  <c r="E18" i="4" s="1"/>
  <c r="F17" i="4" l="1"/>
  <c r="G17" i="4" s="1"/>
  <c r="J18" i="1" l="1"/>
  <c r="F18" i="1"/>
  <c r="F11" i="4" l="1"/>
  <c r="F10" i="4" s="1"/>
  <c r="F18" i="4"/>
  <c r="F29" i="4" s="1"/>
  <c r="G11" i="4" l="1"/>
  <c r="G12" i="4" s="1"/>
  <c r="G31" i="4"/>
  <c r="G29" i="4"/>
  <c r="C34" i="4" s="1"/>
  <c r="G30" i="4"/>
  <c r="E34" i="4" s="1"/>
  <c r="F14" i="1" s="1"/>
  <c r="G15" i="4" l="1"/>
  <c r="E28" i="4"/>
  <c r="C37" i="4"/>
  <c r="D14" i="1"/>
  <c r="D34" i="4"/>
  <c r="G18" i="4" l="1"/>
  <c r="C38" i="4"/>
  <c r="F38" i="4" s="1"/>
  <c r="F37" i="4"/>
  <c r="H14" i="1"/>
  <c r="B17" i="1" l="1"/>
  <c r="D17" i="1" s="1"/>
  <c r="D18" i="1"/>
  <c r="D16" i="1"/>
  <c r="D11" i="4"/>
  <c r="D10" i="4" s="1"/>
  <c r="F17" i="1" l="1"/>
  <c r="J17" i="1"/>
  <c r="D8" i="4"/>
  <c r="E9" i="4"/>
  <c r="C12" i="4"/>
  <c r="E38" i="4" s="1"/>
  <c r="E37" i="4" l="1"/>
  <c r="C11" i="4"/>
  <c r="C10" i="4" s="1"/>
  <c r="D9" i="4" l="1"/>
  <c r="C8" i="4"/>
  <c r="F8" i="4"/>
</calcChain>
</file>

<file path=xl/sharedStrings.xml><?xml version="1.0" encoding="utf-8"?>
<sst xmlns="http://schemas.openxmlformats.org/spreadsheetml/2006/main" count="441" uniqueCount="366">
  <si>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</si>
  <si>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</si>
  <si>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</si>
  <si>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</si>
  <si>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</si>
  <si>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</si>
  <si>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</si>
  <si>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</si>
  <si>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</si>
  <si>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</si>
  <si>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</si>
  <si>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</si>
  <si>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</si>
  <si>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</si>
  <si>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Nominal Default-free Rate</t>
  </si>
  <si>
    <t>CN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</si>
  <si>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</si>
  <si>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</si>
  <si>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</si>
  <si>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</si>
  <si>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</si>
  <si>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</si>
  <si>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</si>
  <si>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</si>
  <si>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</si>
  <si>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</si>
  <si>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</si>
  <si>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</si>
  <si>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</si>
  <si>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</si>
  <si>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</si>
  <si>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</si>
  <si>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</si>
  <si>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</si>
  <si>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</si>
  <si>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</si>
  <si>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</si>
  <si>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</si>
  <si>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</si>
  <si>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</si>
  <si>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</si>
  <si>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</si>
  <si>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</si>
  <si>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</si>
  <si>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</si>
  <si>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</si>
  <si>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</si>
  <si>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</si>
  <si>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</si>
  <si>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</si>
  <si>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</si>
  <si>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</si>
  <si>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</si>
  <si>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</si>
  <si>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</si>
  <si>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</si>
  <si>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</si>
  <si>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</si>
  <si>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</si>
  <si>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</si>
  <si>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</si>
  <si>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</si>
  <si>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</si>
  <si>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</si>
  <si>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</si>
  <si>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</si>
  <si>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</si>
  <si>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</si>
  <si>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</si>
  <si>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</si>
  <si>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</si>
  <si>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</si>
  <si>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</si>
  <si>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</si>
  <si>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</si>
  <si>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</si>
  <si>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</si>
  <si>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</si>
  <si>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</si>
  <si>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</si>
  <si>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</si>
  <si>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</si>
  <si>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</si>
  <si>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</si>
  <si>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</si>
  <si>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</si>
  <si>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</si>
  <si>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</si>
  <si>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</si>
  <si>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</si>
  <si>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</si>
  <si>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</si>
  <si>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</si>
  <si>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</si>
  <si>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</si>
  <si>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</si>
  <si>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</si>
  <si>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</si>
  <si>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</si>
  <si>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</si>
  <si>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</si>
  <si>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</si>
  <si>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</si>
  <si>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</si>
  <si>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</si>
  <si>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</si>
  <si>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</si>
  <si>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</si>
  <si>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</si>
  <si>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</si>
  <si>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</si>
  <si>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</si>
  <si>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</si>
  <si>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</si>
  <si>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</si>
  <si>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</si>
  <si>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</si>
  <si>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</si>
  <si>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</si>
  <si>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</si>
  <si>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</si>
  <si>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</si>
  <si>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</si>
  <si>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</si>
  <si>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</si>
  <si>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</si>
  <si>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</si>
  <si>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</si>
  <si>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</si>
  <si>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</si>
  <si>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</si>
  <si>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</si>
  <si>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</si>
  <si>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</si>
  <si>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</si>
  <si>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</si>
  <si>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</si>
  <si>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</si>
  <si>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</si>
  <si>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</si>
  <si>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</si>
  <si>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</si>
  <si>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</si>
  <si>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</si>
  <si>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</si>
  <si>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</si>
  <si>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</si>
  <si>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</si>
  <si>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</si>
  <si>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</si>
  <si>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</si>
  <si>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</si>
  <si>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</si>
  <si>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</si>
  <si>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</si>
  <si>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</si>
  <si>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</si>
  <si>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</si>
  <si>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</si>
  <si>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</si>
  <si>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</si>
  <si>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</si>
  <si>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</si>
  <si>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</si>
  <si>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</si>
  <si>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</si>
  <si>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</si>
  <si>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</si>
  <si>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</si>
  <si>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</si>
  <si>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</si>
  <si>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</si>
  <si>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</si>
  <si>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</si>
  <si>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</si>
  <si>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</si>
  <si>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</si>
  <si>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</si>
  <si>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</si>
  <si>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</si>
  <si>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</si>
  <si>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</si>
  <si>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</si>
  <si>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</si>
  <si>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</si>
  <si>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</si>
  <si>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</si>
  <si>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PART I: Complexity of the business</t>
  </si>
  <si>
    <t>1. Does the company have a non-cyclical business and a consistent earnings history?</t>
  </si>
  <si>
    <t>unclear</t>
  </si>
  <si>
    <t>2. Does the company have simple revenue and expense structure to understand?</t>
  </si>
  <si>
    <t>agree</t>
  </si>
  <si>
    <t>3. Does the company have simple assets base to value?</t>
  </si>
  <si>
    <r>
      <t xml:space="preserve">⇒ </t>
    </r>
    <r>
      <rPr>
        <b/>
        <i/>
        <u/>
        <sz val="11"/>
        <color rgb="FF000000"/>
        <rFont val="Times New Roman"/>
        <family val="1"/>
      </rPr>
      <t>Complexity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</si>
  <si>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</si>
  <si>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 xml:space="preserve">Reputation: </t>
    </r>
    <r>
      <rPr>
        <sz val="11"/>
        <color rgb="FF000000"/>
        <rFont val="Times New Roman"/>
        <family val="1"/>
      </rPr>
      <t>Does the company and management have good reputation?</t>
    </r>
  </si>
  <si>
    <r>
      <t xml:space="preserve">2. </t>
    </r>
    <r>
      <rPr>
        <b/>
        <sz val="11"/>
        <color rgb="FF000000"/>
        <rFont val="Times New Roman"/>
        <family val="1"/>
      </rPr>
      <t>Complexity:</t>
    </r>
    <r>
      <rPr>
        <sz val="11"/>
        <color rgb="FF000000"/>
        <rFont val="Times New Roman"/>
        <family val="1"/>
      </rPr>
      <t xml:space="preserve"> Does the company have a consistent operating and earning and dividend history?</t>
    </r>
  </si>
  <si>
    <r>
      <t xml:space="preserve">3. </t>
    </r>
    <r>
      <rPr>
        <b/>
        <sz val="11"/>
        <color rgb="FF000000"/>
        <rFont val="Times New Roman"/>
        <family val="1"/>
      </rPr>
      <t>Business Quality:</t>
    </r>
    <r>
      <rPr>
        <sz val="11"/>
        <color rgb="FF000000"/>
        <rFont val="Times New Roman"/>
        <family val="1"/>
      </rPr>
      <t xml:space="preserve"> Does the company have a potent and a consistent earnings history?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</si>
  <si>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</si>
  <si>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r>
      <t xml:space="preserve">1. </t>
    </r>
    <r>
      <rPr>
        <b/>
        <sz val="11"/>
        <color rgb="FF000000"/>
        <rFont val="Times New Roman"/>
        <family val="1"/>
      </rPr>
      <t>Cashflow from operation</t>
    </r>
  </si>
  <si>
    <r>
      <t xml:space="preserve">2. </t>
    </r>
    <r>
      <rPr>
        <b/>
        <sz val="11"/>
        <color rgb="FF000000"/>
        <rFont val="Times New Roman"/>
        <family val="1"/>
      </rPr>
      <t>Cashflow from investment</t>
    </r>
  </si>
  <si>
    <t>(-) Low/Decreasing CFI</t>
  </si>
  <si>
    <r>
      <t xml:space="preserve">3. </t>
    </r>
    <r>
      <rPr>
        <b/>
        <sz val="11"/>
        <color rgb="FF000000"/>
        <rFont val="Times New Roman"/>
        <family val="1"/>
      </rPr>
      <t>Cashflow from financing</t>
    </r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</si>
  <si>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Likely stage in the company life cycle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</si>
  <si>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</si>
  <si>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</si>
  <si>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</si>
  <si>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</si>
  <si>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</si>
  <si>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</si>
  <si>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</si>
  <si>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</si>
  <si>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</si>
  <si>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</si>
  <si>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</si>
  <si>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</si>
  <si>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</si>
  <si>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</si>
  <si>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</si>
  <si>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</si>
  <si>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</si>
  <si>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</si>
  <si>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</si>
  <si>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</si>
  <si>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</si>
  <si>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</si>
  <si>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</si>
  <si>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</si>
  <si>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and equal access to distribution channels.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</si>
  <si>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</si>
  <si>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</si>
  <si>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</si>
  <si>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</si>
  <si>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</si>
  <si>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</si>
  <si>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</si>
  <si>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</si>
  <si>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</si>
  <si>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</si>
  <si>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</si>
  <si>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</si>
  <si>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</si>
  <si>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</si>
  <si>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</si>
  <si>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</si>
  <si>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</si>
  <si>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</si>
  <si>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</si>
  <si>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</si>
  <si>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</si>
  <si>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There is no restrictive government policy</t>
  </si>
  <si>
    <t>6.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</si>
  <si>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</si>
  <si>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</si>
  <si>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</si>
  <si>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</si>
  <si>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</si>
  <si>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</si>
  <si>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</si>
  <si>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</si>
  <si>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</si>
  <si>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</si>
  <si>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</si>
  <si>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</si>
  <si>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</si>
  <si>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</si>
  <si>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</si>
  <si>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</si>
  <si>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</si>
  <si>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</si>
  <si>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</si>
  <si>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</si>
  <si>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</si>
  <si>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</si>
  <si>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</si>
  <si>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1. Does the company have a consistent operating and earning history?</t>
  </si>
  <si>
    <t>6. There is little "real" brand barriers. (better than industry or like the food industry)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</si>
  <si>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</si>
  <si>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</si>
  <si>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</si>
  <si>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</si>
  <si>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</si>
  <si>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</si>
  <si>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</si>
  <si>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</si>
  <si>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</si>
  <si>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Investor's Cash Inflow</t>
  </si>
  <si>
    <t>PV of Investor Cash Inflow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</si>
  <si>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</si>
  <si>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</si>
  <si>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</si>
  <si>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</si>
  <si>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</si>
  <si>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</si>
  <si>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</si>
  <si>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</si>
  <si>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</si>
  <si>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</si>
  <si>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</si>
  <si>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ERP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</si>
  <si>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</si>
  <si>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</si>
  <si>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</si>
  <si>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</si>
  <si>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</si>
  <si>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</si>
  <si>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</si>
  <si>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</si>
  <si>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</si>
  <si>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</si>
  <si>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</si>
  <si>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</si>
  <si>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</si>
  <si>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</si>
  <si>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</si>
  <si>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</si>
  <si>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</si>
  <si>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EBIT Growth rate</t>
  </si>
  <si>
    <t>Operating Income Projections</t>
  </si>
  <si>
    <t>MOS</t>
  </si>
  <si>
    <t>ROIC</t>
  </si>
  <si>
    <t>%</t>
  </si>
  <si>
    <t>Adj. Rf + ERP = Discount Rate</t>
  </si>
  <si>
    <t>Cheap given Risk</t>
  </si>
  <si>
    <t>Reasonable given Risk</t>
  </si>
  <si>
    <t>Reasonable Market Price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</si>
  <si>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</si>
  <si>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</si>
  <si>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</si>
  <si>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</si>
  <si>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</si>
  <si>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</si>
  <si>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</si>
  <si>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</si>
  <si>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</si>
  <si>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</si>
  <si>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</si>
  <si>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</si>
  <si>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</si>
  <si>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</si>
  <si>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</si>
  <si>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</si>
  <si>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</si>
  <si>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</si>
  <si>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0303.HK</t>
  </si>
  <si>
    <t>VTECH HOLDINGS</t>
  </si>
  <si>
    <t>USD</t>
  </si>
  <si>
    <t>Cyclicals</t>
  </si>
  <si>
    <t>電子學習產品</t>
  </si>
  <si>
    <t>電訊產品</t>
  </si>
  <si>
    <t>承包生產服務</t>
  </si>
  <si>
    <t>北美洲</t>
  </si>
  <si>
    <t>歐洲</t>
  </si>
  <si>
    <t>亞太區</t>
  </si>
  <si>
    <t>其他地區</t>
  </si>
  <si>
    <t>(+) Healthy/Increasing CFO</t>
  </si>
  <si>
    <t>(-) Low/Decreasing CFF</t>
  </si>
  <si>
    <t>current demand for export will likely not recover until the 2nd half of next year</t>
  </si>
  <si>
    <t>Reinvestment Estimate</t>
  </si>
  <si>
    <t>Peter Lynch: "The P/E ratio of any company that's fairly priced will equal its growth rate"</t>
  </si>
  <si>
    <r>
      <t xml:space="preserve">⇒ </t>
    </r>
    <r>
      <rPr>
        <b/>
        <i/>
        <u/>
        <sz val="11"/>
        <color rgb="FF000000"/>
        <rFont val="Times New Roman"/>
        <family val="1"/>
      </rPr>
      <t>Terminal Value Multiple</t>
    </r>
  </si>
  <si>
    <t>Net Profit Growth</t>
  </si>
  <si>
    <t>"Cash Flow Patterns as a Proxy for Firm Life Cycle" (V. Dickinson, 2011)</t>
  </si>
  <si>
    <t>Terminal Value Analysis Based on the company's Estimated Long-term Growth Rate</t>
  </si>
  <si>
    <r>
      <t xml:space="preserve">⇒ </t>
    </r>
    <r>
      <rPr>
        <b/>
        <i/>
        <u/>
        <sz val="11"/>
        <color rgb="FF000000"/>
        <rFont val="Times New Roman"/>
        <family val="1"/>
      </rPr>
      <t>Likely type of company</t>
    </r>
  </si>
  <si>
    <t>Yield 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</si>
</sst>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Breakeven Price = &quot;0.00"/>
    <numFmt numFmtId="185" formatCode="&quot;Ideal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</fills>
  <borders count="10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indexed="64"/>
      </right>
      <top/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 style="thin">
        <color indexed="64"/>
      </right>
      <top style="thin">
        <color indexed="64"/>
      </top>
      <bottom/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6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16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21" fillId="0" borderId="9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2" fillId="11" borderId="15" xfId="0" applyNumberFormat="1" applyFont="1" applyFill="1" applyBorder="1" applyAlignment="1">
      <alignment horizont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10" borderId="53" xfId="0" applyFont="1" applyFill="1" applyBorder="1" applyAlignment="1">
      <alignment horizontal="center"/>
    </xf>
    <xf numFmtId="0" fontId="2" fillId="11" borderId="17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2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2" fillId="21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3" fontId="1" fillId="4" borderId="72" xfId="0" applyNumberFormat="1" applyFont="1" applyFill="1" applyBorder="1" applyAlignment="1">
      <alignment horizontal="center"/>
    </xf>
    <xf numFmtId="174" fontId="5" fillId="0" borderId="42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0" fontId="1" fillId="0" borderId="74" xfId="0" applyNumberFormat="1" applyFont="1" applyBorder="1" applyAlignment="1">
      <alignment horizontal="center"/>
    </xf>
    <xf numFmtId="174" fontId="5" fillId="0" borderId="44" xfId="0" applyNumberFormat="1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4" fontId="7" fillId="0" borderId="9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10" fontId="2" fillId="10" borderId="16" xfId="0" applyNumberFormat="1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166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3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77" fontId="2" fillId="23" borderId="13" xfId="0" applyNumberFormat="1" applyFont="1" applyFill="1" applyBorder="1" applyAlignment="1">
      <alignment horizontal="center"/>
    </xf>
    <xf numFmtId="3" fontId="1" fillId="15" borderId="68" xfId="0" applyNumberFormat="1" applyFont="1" applyFill="1" applyBorder="1" applyAlignment="1">
      <alignment horizontal="center"/>
    </xf>
    <xf numFmtId="4" fontId="1" fillId="0" borderId="81" xfId="0" applyNumberFormat="1" applyFont="1" applyBorder="1" applyAlignment="1">
      <alignment horizontal="center"/>
    </xf>
    <xf numFmtId="4" fontId="1" fillId="4" borderId="81" xfId="0" applyNumberFormat="1" applyFont="1" applyFill="1" applyBorder="1" applyAlignment="1">
      <alignment horizontal="center"/>
    </xf>
    <xf numFmtId="10" fontId="2" fillId="17" borderId="43" xfId="0" applyNumberFormat="1" applyFont="1" applyFill="1" applyBorder="1" applyAlignment="1">
      <alignment horizontal="center"/>
    </xf>
    <xf numFmtId="3" fontId="1" fillId="0" borderId="82" xfId="0" applyNumberFormat="1" applyFont="1" applyBorder="1" applyAlignment="1">
      <alignment horizontal="center"/>
    </xf>
    <xf numFmtId="4" fontId="1" fillId="0" borderId="83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10" fontId="1" fillId="0" borderId="85" xfId="0" applyNumberFormat="1" applyFont="1" applyBorder="1" applyAlignment="1">
      <alignment horizontal="center"/>
    </xf>
    <xf numFmtId="4" fontId="1" fillId="0" borderId="8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7" fillId="0" borderId="20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10" fontId="1" fillId="0" borderId="71" xfId="0" applyNumberFormat="1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9" xfId="0" applyNumberFormat="1" applyFont="1" applyFill="1" applyBorder="1" applyAlignment="1">
      <alignment horizontal="center"/>
    </xf>
    <xf numFmtId="3" fontId="1" fillId="0" borderId="79" xfId="0" applyNumberFormat="1" applyFont="1" applyBorder="1" applyAlignment="1">
      <alignment horizontal="center"/>
    </xf>
    <xf numFmtId="3" fontId="1" fillId="0" borderId="87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84" xfId="0" applyNumberFormat="1" applyFont="1" applyFill="1" applyBorder="1" applyAlignment="1">
      <alignment horizontal="center"/>
    </xf>
    <xf numFmtId="3" fontId="11" fillId="11" borderId="79" xfId="0" applyNumberFormat="1" applyFont="1" applyFill="1" applyBorder="1" applyAlignment="1">
      <alignment horizontal="right"/>
    </xf>
    <xf numFmtId="0" fontId="19" fillId="0" borderId="88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9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9" xfId="0" applyNumberFormat="1" applyFont="1" applyBorder="1" applyAlignment="1">
      <alignment horizontal="center"/>
    </xf>
    <xf numFmtId="4" fontId="1" fillId="0" borderId="90" xfId="0" applyNumberFormat="1" applyFont="1" applyBorder="1" applyAlignment="1">
      <alignment horizontal="center"/>
    </xf>
    <xf numFmtId="4" fontId="3" fillId="4" borderId="91" xfId="0" applyNumberFormat="1" applyFont="1" applyFill="1" applyBorder="1" applyAlignment="1">
      <alignment horizontal="right"/>
    </xf>
    <xf numFmtId="4" fontId="3" fillId="0" borderId="92" xfId="0" applyNumberFormat="1" applyFont="1" applyBorder="1" applyAlignment="1">
      <alignment horizontal="right"/>
    </xf>
    <xf numFmtId="0" fontId="5" fillId="0" borderId="93" xfId="0" applyFont="1" applyBorder="1"/>
    <xf numFmtId="0" fontId="5" fillId="0" borderId="94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10" fontId="2" fillId="1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10" fontId="7" fillId="15" borderId="16" xfId="0" applyNumberFormat="1" applyFont="1" applyFill="1" applyBorder="1" applyAlignment="1">
      <alignment horizontal="center"/>
    </xf>
    <xf numFmtId="10" fontId="7" fillId="15" borderId="44" xfId="0" applyNumberFormat="1" applyFont="1" applyFill="1" applyBorder="1" applyAlignment="1">
      <alignment horizontal="center"/>
    </xf>
    <xf numFmtId="10" fontId="2" fillId="10" borderId="44" xfId="0" applyNumberFormat="1" applyFont="1" applyFill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3" fontId="2" fillId="10" borderId="47" xfId="0" applyNumberFormat="1" applyFont="1" applyFill="1" applyBorder="1" applyAlignment="1">
      <alignment horizontal="center"/>
    </xf>
    <xf numFmtId="164" fontId="7" fillId="0" borderId="96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8" borderId="59" xfId="0" applyNumberFormat="1" applyFont="1" applyFill="1" applyBorder="1" applyAlignment="1">
      <alignment horizontal="center"/>
    </xf>
    <xf numFmtId="177" fontId="7" fillId="0" borderId="20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10" fontId="1" fillId="12" borderId="97" xfId="0" applyNumberFormat="1" applyFont="1" applyFill="1" applyBorder="1" applyAlignment="1">
      <alignment horizontal="center"/>
    </xf>
    <xf numFmtId="4" fontId="2" fillId="10" borderId="76" xfId="0" applyNumberFormat="1" applyFont="1" applyFill="1" applyBorder="1" applyAlignment="1">
      <alignment horizontal="center"/>
    </xf>
    <xf numFmtId="4" fontId="2" fillId="17" borderId="76" xfId="0" applyNumberFormat="1" applyFont="1" applyFill="1" applyBorder="1" applyAlignment="1">
      <alignment horizontal="center"/>
    </xf>
    <xf numFmtId="10" fontId="7" fillId="15" borderId="13" xfId="0" applyNumberFormat="1" applyFont="1" applyFill="1" applyBorder="1" applyAlignment="1">
      <alignment horizontal="center"/>
    </xf>
    <xf numFmtId="10" fontId="7" fillId="4" borderId="13" xfId="0" applyNumberFormat="1" applyFont="1" applyFill="1" applyBorder="1" applyAlignment="1">
      <alignment horizontal="center"/>
    </xf>
    <xf numFmtId="10" fontId="7" fillId="4" borderId="70" xfId="0" applyNumberFormat="1" applyFont="1" applyFill="1" applyBorder="1" applyAlignment="1">
      <alignment horizontal="center"/>
    </xf>
    <xf numFmtId="3" fontId="7" fillId="15" borderId="68" xfId="0" applyNumberFormat="1" applyFont="1" applyFill="1" applyBorder="1" applyAlignment="1">
      <alignment horizontal="center"/>
    </xf>
    <xf numFmtId="3" fontId="7" fillId="4" borderId="68" xfId="0" applyNumberFormat="1" applyFont="1" applyFill="1" applyBorder="1" applyAlignment="1">
      <alignment horizontal="center"/>
    </xf>
    <xf numFmtId="3" fontId="7" fillId="22" borderId="73" xfId="0" applyNumberFormat="1" applyFont="1" applyFill="1" applyBorder="1" applyAlignment="1">
      <alignment horizontal="center"/>
    </xf>
    <xf numFmtId="10" fontId="7" fillId="4" borderId="16" xfId="0" applyNumberFormat="1" applyFont="1" applyFill="1" applyBorder="1" applyAlignment="1">
      <alignment horizontal="center"/>
    </xf>
    <xf numFmtId="10" fontId="7" fillId="4" borderId="95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98" xfId="0" applyNumberFormat="1" applyFont="1" applyBorder="1" applyAlignment="1">
      <alignment horizontal="center"/>
    </xf>
    <xf numFmtId="9" fontId="2" fillId="0" borderId="87" xfId="0" applyNumberFormat="1" applyFont="1" applyBorder="1" applyAlignment="1">
      <alignment horizontal="center"/>
    </xf>
    <xf numFmtId="3" fontId="5" fillId="0" borderId="79" xfId="0" applyNumberFormat="1" applyFont="1" applyBorder="1" applyAlignment="1">
      <alignment horizontal="center"/>
    </xf>
    <xf numFmtId="10" fontId="7" fillId="0" borderId="84" xfId="0" applyNumberFormat="1" applyFont="1" applyBorder="1" applyAlignment="1">
      <alignment horizontal="center"/>
    </xf>
    <xf numFmtId="3" fontId="1" fillId="0" borderId="80" xfId="0" applyNumberFormat="1" applyFont="1" applyBorder="1" applyAlignment="1">
      <alignment horizontal="center"/>
    </xf>
    <xf numFmtId="10" fontId="5" fillId="0" borderId="84" xfId="0" applyNumberFormat="1" applyFont="1" applyBorder="1" applyAlignment="1">
      <alignment horizontal="center"/>
    </xf>
    <xf numFmtId="10" fontId="5" fillId="0" borderId="79" xfId="0" applyNumberFormat="1" applyFont="1" applyBorder="1" applyAlignment="1">
      <alignment horizontal="center"/>
    </xf>
    <xf numFmtId="3" fontId="5" fillId="0" borderId="80" xfId="0" applyNumberFormat="1" applyFont="1" applyBorder="1" applyAlignment="1">
      <alignment horizontal="center"/>
    </xf>
    <xf numFmtId="10" fontId="7" fillId="0" borderId="79" xfId="0" applyNumberFormat="1" applyFont="1" applyBorder="1" applyAlignment="1">
      <alignment horizontal="center"/>
    </xf>
    <xf numFmtId="3" fontId="1" fillId="0" borderId="99" xfId="0" applyNumberFormat="1" applyFont="1" applyBorder="1" applyAlignment="1">
      <alignment horizontal="center"/>
    </xf>
    <xf numFmtId="185" fontId="4" fillId="10" borderId="11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4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9" fontId="2" fillId="0" borderId="103" xfId="0" applyNumberFormat="1" applyFont="1" applyBorder="1" applyAlignment="1">
      <alignment horizontal="center"/>
    </xf>
    <xf numFmtId="0" fontId="30" fillId="0" borderId="9" xfId="0" applyFont="1" applyBorder="1" applyAlignment="1">
      <alignment horizontal="right"/>
    </xf>
    <xf numFmtId="0" fontId="30" fillId="0" borderId="0" xfId="0" applyFont="1" applyAlignment="1">
      <alignment horizontal="right"/>
    </xf>
    <xf numFmtId="3" fontId="2" fillId="10" borderId="16" xfId="0" applyNumberFormat="1" applyFont="1" applyFill="1" applyBorder="1" applyAlignment="1">
      <alignment horizontal="right"/>
    </xf>
    <xf numFmtId="10" fontId="7" fillId="0" borderId="16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9" fontId="15" fillId="9" borderId="104" xfId="0" applyNumberFormat="1" applyFont="1" applyFill="1" applyBorder="1" applyAlignment="1">
      <alignment horizontal="center"/>
    </xf>
    <xf numFmtId="174" fontId="2" fillId="10" borderId="42" xfId="0" applyNumberFormat="1" applyFont="1" applyFill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05" xfId="0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4" borderId="9" xfId="0" applyFont="1" applyFill="1" applyBorder="1"/>
    <xf numFmtId="0" fontId="7" fillId="14" borderId="9" xfId="0" applyFont="1" applyFill="1" applyBorder="1"/>
    <xf numFmtId="0" fontId="1" fillId="14" borderId="2" xfId="0" applyFont="1" applyFill="1" applyBorder="1"/>
    <xf numFmtId="0" fontId="7" fillId="14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1" borderId="13" xfId="0" applyNumberFormat="1" applyFont="1" applyFill="1" applyBorder="1" applyAlignment="1">
      <alignment horizontal="center"/>
    </xf>
    <xf numFmtId="0" fontId="7" fillId="10" borderId="13" xfId="0" applyFont="1" applyFill="1" applyBorder="1"/>
    <xf numFmtId="8" fontId="4" fillId="11" borderId="13" xfId="0" applyNumberFormat="1" applyFont="1" applyFill="1" applyBorder="1" applyAlignment="1">
      <alignment horizontal="center"/>
    </xf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0" fontId="1" fillId="14" borderId="13" xfId="0" applyFont="1" applyFill="1" applyBorder="1"/>
    <xf numFmtId="0" fontId="1" fillId="14" borderId="20" xfId="0" applyFont="1" applyFill="1" applyBorder="1"/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100" xfId="0" applyFont="1" applyFill="1" applyBorder="1" applyAlignment="1">
      <alignment horizontal="center" vertical="center"/>
    </xf>
    <xf numFmtId="0" fontId="13" fillId="11" borderId="101" xfId="0" applyFont="1" applyFill="1" applyBorder="1" applyAlignment="1">
      <alignment horizontal="center" vertical="center"/>
    </xf>
    <xf numFmtId="0" fontId="13" fillId="11" borderId="102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5" xfId="0" applyFont="1" applyBorder="1" applyAlignment="1">
      <alignment horizontal="center" vertical="center"/>
    </xf>
    <xf numFmtId="0" fontId="15" fillId="0" borderId="76" xfId="0" applyFont="1" applyBorder="1" applyAlignment="1">
      <alignment horizontal="center" vertical="center"/>
    </xf>
    <xf numFmtId="0" fontId="15" fillId="0" borderId="7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79" fontId="2" fillId="11" borderId="26" xfId="0" applyNumberFormat="1" applyFont="1" applyFill="1" applyBorder="1" applyAlignment="1">
      <alignment horizontal="center"/>
    </xf>
    <xf numFmtId="179" fontId="2" fillId="11" borderId="33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5" fillId="0" borderId="75" xfId="0" applyNumberFormat="1" applyFont="1" applyBorder="1" applyAlignment="1">
      <alignment horizontal="center" vertical="center"/>
    </xf>
    <xf numFmtId="10" fontId="5" fillId="0" borderId="76" xfId="0" applyNumberFormat="1" applyFont="1" applyBorder="1" applyAlignment="1">
      <alignment horizontal="center" vertical="center"/>
    </xf>
    <xf numFmtId="10" fontId="5" fillId="0" borderId="77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0" fontId="7" fillId="0" borderId="13" xfId="0" applyFont="1" applyBorder="1"/>
    <xf numFmtId="0" fontId="5" fillId="0" borderId="9" xfId="0" applyFont="1" applyBorder="1"/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5" xfId="0" applyNumberFormat="1" applyFont="1" applyBorder="1" applyAlignment="1">
      <alignment horizontal="center" vertical="center"/>
    </xf>
    <xf numFmtId="4" fontId="5" fillId="0" borderId="76" xfId="0" applyNumberFormat="1" applyFont="1" applyBorder="1" applyAlignment="1">
      <alignment horizontal="center" vertical="center"/>
    </xf>
    <xf numFmtId="4" fontId="5" fillId="0" borderId="77" xfId="0" applyNumberFormat="1" applyFon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J18" sqref="J18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403" t="str">
        <f>C3&amp;" : "&amp;C4</f>
        <v>0303.HK : VTECH HOLDINGS</v>
      </c>
      <c r="D2" s="404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05" t="s">
        <v>344</v>
      </c>
      <c r="D3" s="406"/>
      <c r="E3" s="15"/>
      <c r="G3" s="7" t="s">
        <v>2</v>
      </c>
      <c r="I3" s="417" t="s">
        <v>3</v>
      </c>
      <c r="J3" s="418"/>
    </row>
    <row r="4" spans="1:12" ht="15.75" customHeight="1" x14ac:dyDescent="0.3">
      <c r="B4" s="5" t="s">
        <v>4</v>
      </c>
      <c r="C4" s="407" t="s">
        <v>345</v>
      </c>
      <c r="D4" s="408"/>
      <c r="E4" s="6"/>
      <c r="G4" s="5" t="s">
        <v>5</v>
      </c>
      <c r="I4" s="34">
        <v>44.25</v>
      </c>
      <c r="J4" s="35" t="s">
        <v>6</v>
      </c>
      <c r="K4" s="184"/>
    </row>
    <row r="5" spans="1:12" ht="15.75" customHeight="1" x14ac:dyDescent="0.3">
      <c r="B5" s="5" t="s">
        <v>7</v>
      </c>
      <c r="C5" s="409">
        <v>43002</v>
      </c>
      <c r="D5" s="408"/>
      <c r="E5" s="150" t="str">
        <f ca="1">IF(C5+30&gt;=TODAY(),"Patience Premium","")</f>
        <v/>
      </c>
      <c r="G5" s="5" t="s">
        <v>8</v>
      </c>
      <c r="I5" s="399">
        <v>252702000</v>
      </c>
      <c r="J5" s="400"/>
      <c r="K5" s="183"/>
      <c r="L5" s="110"/>
    </row>
    <row r="6" spans="1:12" ht="15.75" customHeight="1" x14ac:dyDescent="0.3">
      <c r="B6" s="12" t="s">
        <v>330</v>
      </c>
      <c r="C6" s="325">
        <v>8</v>
      </c>
      <c r="D6" s="326">
        <f>EOMONTH(EDATE(Asset_Model!D9,C6),0)</f>
        <v>45077</v>
      </c>
      <c r="E6" s="150"/>
      <c r="G6" s="163" t="s">
        <v>9</v>
      </c>
      <c r="H6" s="162"/>
      <c r="I6" s="419">
        <f>I4*I5/1000000</f>
        <v>11182.0635</v>
      </c>
      <c r="J6" s="420"/>
      <c r="K6" s="183"/>
    </row>
    <row r="7" spans="1:12" ht="15.75" customHeight="1" x14ac:dyDescent="0.3">
      <c r="B7" s="168" t="s">
        <v>10</v>
      </c>
      <c r="C7" s="174">
        <f>(Data!C39)/I4</f>
        <v>2.0541825755147965E-2</v>
      </c>
      <c r="D7" s="174">
        <f>(Data!C40)/I4</f>
        <v>1.4308629172066499E-4</v>
      </c>
      <c r="E7" s="185"/>
      <c r="F7" s="6"/>
    </row>
    <row r="8" spans="1:12" ht="15.75" customHeight="1" x14ac:dyDescent="0.3">
      <c r="C8" s="124"/>
      <c r="E8" s="6"/>
      <c r="G8" s="22" t="s">
        <v>11</v>
      </c>
      <c r="H8" s="161"/>
      <c r="I8" s="6"/>
      <c r="J8" s="6"/>
    </row>
    <row r="9" spans="1:12" ht="15.75" customHeight="1" x14ac:dyDescent="0.3">
      <c r="B9" s="22" t="s">
        <v>12</v>
      </c>
      <c r="D9" s="12"/>
      <c r="E9" s="5"/>
      <c r="G9" s="5" t="s">
        <v>13</v>
      </c>
      <c r="I9" s="149">
        <f>IF(Data!F3&lt;=0,"NNI",I4/((Data!F3*I12)/(I5/Data!C4)))</f>
        <v>8.2525012333487524</v>
      </c>
      <c r="J9" s="50">
        <f>IF(I9="NNI","NNI",1/I9)</f>
        <v>0.12117538328367067</v>
      </c>
    </row>
    <row r="10" spans="1:12" ht="15.75" customHeight="1" x14ac:dyDescent="0.3">
      <c r="B10" s="19" t="s">
        <v>14</v>
      </c>
      <c r="C10" s="176" t="s">
        <v>15</v>
      </c>
      <c r="D10" s="153">
        <v>2.9100000000000001E-2</v>
      </c>
      <c r="E10" s="5"/>
      <c r="G10" s="5" t="s">
        <v>16</v>
      </c>
      <c r="I10" s="167">
        <f>I4/(Data!C28*I12*Data!C4/Common_Shares)</f>
        <v>2.0995977651728484</v>
      </c>
      <c r="J10" s="159">
        <f>IF(Asset_Model!D60/'FCFF Model'!C4&lt;0,"Negative EV",Asset_Model!D60/'FCFF Model'!C4)</f>
        <v>55.536287322564853</v>
      </c>
    </row>
    <row r="11" spans="1:12" ht="15.75" customHeight="1" x14ac:dyDescent="0.3">
      <c r="B11" s="19" t="s">
        <v>299</v>
      </c>
      <c r="C11" s="244">
        <v>0.1</v>
      </c>
      <c r="D11" s="370">
        <f ca="1">$C$11*(2-'Qualitative Analysis'!$E$13+IF($C$5+30&gt;=TODAY(),0.2,0))</f>
        <v>0.14444444444444446</v>
      </c>
      <c r="E11" s="13"/>
      <c r="G11" s="5" t="s">
        <v>17</v>
      </c>
      <c r="H11" s="6"/>
      <c r="I11" s="429" t="s">
        <v>346</v>
      </c>
      <c r="J11" s="430"/>
    </row>
    <row r="12" spans="1:12" ht="15.75" customHeight="1" x14ac:dyDescent="0.3">
      <c r="B12" s="100" t="s">
        <v>322</v>
      </c>
      <c r="C12" s="319">
        <v>2.9100000000000001E-2</v>
      </c>
      <c r="D12" s="318">
        <f ca="1">D11+C12</f>
        <v>0.17354444444444445</v>
      </c>
      <c r="G12" s="163" t="s">
        <v>18</v>
      </c>
      <c r="H12" s="162"/>
      <c r="I12" s="164">
        <v>7.8459225854941756</v>
      </c>
      <c r="J12" s="165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1" t="s">
        <v>19</v>
      </c>
      <c r="C14" s="156" t="s">
        <v>282</v>
      </c>
      <c r="D14" s="216">
        <f ca="1">'FCFF Model'!C34</f>
        <v>20.897173050980452</v>
      </c>
      <c r="E14" s="156" t="s">
        <v>302</v>
      </c>
      <c r="F14" s="216">
        <f ca="1">'FCFF Model'!E34</f>
        <v>52.765300352065523</v>
      </c>
      <c r="G14" s="217" t="s">
        <v>26</v>
      </c>
      <c r="H14" s="227">
        <f ca="1">IF('FCFF Model'!C37&lt;0, "Error", 'FCFF Model'!C37)</f>
        <v>37.100417595392699</v>
      </c>
      <c r="I14" s="162"/>
      <c r="J14" s="162"/>
    </row>
    <row r="15" spans="1:12" ht="15.75" customHeight="1" x14ac:dyDescent="0.3">
      <c r="A15" s="6"/>
      <c r="B15" s="124"/>
      <c r="C15" s="285" t="s">
        <v>319</v>
      </c>
      <c r="D15" s="116" t="s">
        <v>21</v>
      </c>
      <c r="E15" s="116" t="s">
        <v>22</v>
      </c>
      <c r="F15" s="116" t="s">
        <v>23</v>
      </c>
      <c r="G15" s="168"/>
      <c r="H15" s="83" t="s">
        <v>25</v>
      </c>
      <c r="J15" s="157" t="s">
        <v>24</v>
      </c>
    </row>
    <row r="16" spans="1:12" ht="15.75" customHeight="1" x14ac:dyDescent="0.3">
      <c r="B16" s="160">
        <f>I4</f>
        <v>44.25</v>
      </c>
      <c r="C16" s="438">
        <f ca="1">D12/2</f>
        <v>8.6772222222222223E-2</v>
      </c>
      <c r="D16" s="191">
        <f ca="1">H14/B16-1-C16</f>
        <v>-0.24834470594216126</v>
      </c>
      <c r="E16" s="435">
        <f>'FCFF Model'!D15*Exchange_Rate</f>
        <v>2.8245321307779032</v>
      </c>
      <c r="F16" s="193">
        <f>E16/B16</f>
        <v>6.3831234593850913E-2</v>
      </c>
      <c r="G16" s="424" t="s">
        <v>27</v>
      </c>
      <c r="H16" s="421">
        <f>('FCFF Model'!G22)*Exchange_Rate</f>
        <v>-5.1502625166471727</v>
      </c>
      <c r="I16" s="424" t="s">
        <v>28</v>
      </c>
      <c r="J16" s="247">
        <f>B16-$H$16</f>
        <v>49.400262516647174</v>
      </c>
    </row>
    <row r="17" spans="1:10" ht="15.75" customHeight="1" x14ac:dyDescent="0.3">
      <c r="B17" s="363">
        <f ca="1">H14/(1+C16)</f>
        <v>34.138172504565944</v>
      </c>
      <c r="C17" s="439"/>
      <c r="D17" s="362">
        <f ca="1">H14/B17-1-C16</f>
        <v>0</v>
      </c>
      <c r="E17" s="436"/>
      <c r="F17" s="194">
        <f ca="1">E16/B17</f>
        <v>8.2738234754661369E-2</v>
      </c>
      <c r="G17" s="425"/>
      <c r="H17" s="422"/>
      <c r="I17" s="425"/>
      <c r="J17" s="246">
        <f ca="1">B17-$H$16</f>
        <v>39.288435021213118</v>
      </c>
    </row>
    <row r="18" spans="1:10" ht="15.75" customHeight="1" x14ac:dyDescent="0.3">
      <c r="B18" s="361">
        <v>31</v>
      </c>
      <c r="C18" s="440"/>
      <c r="D18" s="192">
        <f ca="1">H14/B18-1-C16</f>
        <v>0.11001544214528416</v>
      </c>
      <c r="E18" s="437"/>
      <c r="F18" s="195">
        <f>E16/B18</f>
        <v>9.1113939702513011E-2</v>
      </c>
      <c r="G18" s="426"/>
      <c r="H18" s="423"/>
      <c r="I18" s="426"/>
      <c r="J18" s="248">
        <f>B18-$H$16</f>
        <v>36.150262516647174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1" t="s">
        <v>29</v>
      </c>
      <c r="C20" s="5" t="s">
        <v>328</v>
      </c>
      <c r="D20" s="364" t="s">
        <v>347</v>
      </c>
      <c r="E20" s="321" t="s">
        <v>338</v>
      </c>
      <c r="G20" s="6"/>
      <c r="H20" s="6"/>
      <c r="I20" s="6"/>
      <c r="J20" s="6"/>
    </row>
    <row r="21" spans="1:10" ht="15.75" customHeight="1" x14ac:dyDescent="0.3">
      <c r="A21" s="6"/>
      <c r="B21" s="25" t="s">
        <v>30</v>
      </c>
      <c r="C21" s="412"/>
      <c r="D21" s="413"/>
      <c r="E21" s="413"/>
      <c r="F21" s="413"/>
      <c r="G21" s="413"/>
      <c r="H21" s="413"/>
      <c r="I21" s="413"/>
      <c r="J21" s="414"/>
    </row>
    <row r="22" spans="1:10" ht="52.5" customHeight="1" x14ac:dyDescent="0.3">
      <c r="A22" s="6"/>
      <c r="B22" s="25" t="s">
        <v>31</v>
      </c>
      <c r="C22" s="428"/>
      <c r="D22" s="391"/>
      <c r="E22" s="391"/>
      <c r="F22" s="391"/>
      <c r="G22" s="428"/>
      <c r="H22" s="428"/>
      <c r="I22" s="391"/>
      <c r="J22" s="391"/>
    </row>
    <row r="23" spans="1:10" ht="52.5" customHeight="1" x14ac:dyDescent="0.3">
      <c r="A23" s="6"/>
      <c r="B23" s="26" t="s">
        <v>32</v>
      </c>
      <c r="C23" s="415"/>
      <c r="D23" s="416"/>
      <c r="E23" s="416"/>
      <c r="F23" s="416"/>
      <c r="G23" s="415"/>
      <c r="H23" s="415"/>
      <c r="I23" s="416"/>
      <c r="J23" s="416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1" t="s">
        <v>33</v>
      </c>
      <c r="C25" s="23" t="s">
        <v>34</v>
      </c>
      <c r="D25" s="36">
        <v>600000</v>
      </c>
      <c r="E25" s="12"/>
      <c r="F25" s="8"/>
      <c r="G25" s="12"/>
      <c r="H25" s="162"/>
      <c r="I25" s="6"/>
      <c r="J25" s="6"/>
    </row>
    <row r="26" spans="1:10" ht="15.75" customHeight="1" x14ac:dyDescent="0.3">
      <c r="B26" s="24" t="s">
        <v>35</v>
      </c>
      <c r="C26" s="410"/>
      <c r="D26" s="411"/>
      <c r="E26" s="410"/>
      <c r="F26" s="411"/>
      <c r="G26" s="431"/>
      <c r="H26" s="432"/>
      <c r="I26" s="427" t="s">
        <v>36</v>
      </c>
      <c r="J26" s="427"/>
    </row>
    <row r="27" spans="1:10" ht="15.75" customHeight="1" x14ac:dyDescent="0.3">
      <c r="B27" s="24" t="s">
        <v>37</v>
      </c>
      <c r="C27" s="434">
        <f>C31/D25</f>
        <v>0</v>
      </c>
      <c r="D27" s="389"/>
      <c r="E27" s="433">
        <f>E31/D25</f>
        <v>0</v>
      </c>
      <c r="F27" s="389"/>
      <c r="G27" s="442">
        <f>G31/D25</f>
        <v>0</v>
      </c>
      <c r="H27" s="443"/>
      <c r="I27" s="441">
        <f>C27+E27+G27</f>
        <v>0</v>
      </c>
      <c r="J27" s="441"/>
    </row>
    <row r="28" spans="1:10" ht="15.75" customHeight="1" x14ac:dyDescent="0.3">
      <c r="B28" s="24" t="s">
        <v>38</v>
      </c>
      <c r="C28" s="390"/>
      <c r="D28" s="391"/>
      <c r="E28" s="390"/>
      <c r="F28" s="391"/>
      <c r="G28" s="399"/>
      <c r="H28" s="400"/>
      <c r="I28" s="379">
        <f>C28+E28+G28</f>
        <v>0</v>
      </c>
      <c r="J28" s="379"/>
    </row>
    <row r="29" spans="1:10" ht="15.75" customHeight="1" x14ac:dyDescent="0.3">
      <c r="B29" s="24" t="s">
        <v>39</v>
      </c>
      <c r="C29" s="392"/>
      <c r="D29" s="391"/>
      <c r="E29" s="392"/>
      <c r="F29" s="391"/>
      <c r="G29" s="393"/>
      <c r="H29" s="394"/>
      <c r="I29" s="401"/>
      <c r="J29" s="401"/>
    </row>
    <row r="30" spans="1:10" ht="15.75" customHeight="1" x14ac:dyDescent="0.3">
      <c r="B30" s="24" t="s">
        <v>40</v>
      </c>
      <c r="C30" s="377">
        <f>C29*$I$5/1000000</f>
        <v>0</v>
      </c>
      <c r="D30" s="384"/>
      <c r="E30" s="377">
        <f>E29*$I$5/1000000</f>
        <v>0</v>
      </c>
      <c r="F30" s="384"/>
      <c r="G30" s="395">
        <f>G29*$I$5/1000000</f>
        <v>0</v>
      </c>
      <c r="H30" s="396"/>
      <c r="I30" s="402"/>
      <c r="J30" s="402"/>
    </row>
    <row r="31" spans="1:10" ht="15.75" customHeight="1" x14ac:dyDescent="0.3">
      <c r="B31" s="2" t="s">
        <v>41</v>
      </c>
      <c r="C31" s="385">
        <f>C28*C29</f>
        <v>0</v>
      </c>
      <c r="D31" s="386"/>
      <c r="E31" s="378">
        <f>E28*E29</f>
        <v>0</v>
      </c>
      <c r="F31" s="387"/>
      <c r="G31" s="397">
        <f>G28*G29</f>
        <v>0</v>
      </c>
      <c r="H31" s="398"/>
      <c r="I31" s="378">
        <f>C31+E31+G31</f>
        <v>0</v>
      </c>
      <c r="J31" s="378"/>
    </row>
    <row r="32" spans="1:10" ht="15.75" customHeight="1" x14ac:dyDescent="0.3">
      <c r="B32" s="1" t="s">
        <v>42</v>
      </c>
      <c r="C32" s="380"/>
      <c r="D32" s="381"/>
      <c r="E32" s="388" t="str">
        <f>IF(C31=0,"-",(C31+E31)/(C28+E28))</f>
        <v>-</v>
      </c>
      <c r="F32" s="389"/>
      <c r="G32" s="145"/>
      <c r="H32" s="145"/>
      <c r="I32" s="388" t="str">
        <f>IF(I31=0,"",I31/I28)</f>
        <v/>
      </c>
      <c r="J32" s="388"/>
    </row>
    <row r="33" spans="2:10" ht="15.75" customHeight="1" x14ac:dyDescent="0.3">
      <c r="B33" s="1" t="s">
        <v>43</v>
      </c>
      <c r="C33" s="382"/>
      <c r="D33" s="383"/>
      <c r="E33" s="377" t="str">
        <f>IF(E32="-","-",E32*$I$5/1000000)</f>
        <v>-</v>
      </c>
      <c r="F33" s="384"/>
      <c r="G33" s="146"/>
      <c r="H33" s="146"/>
      <c r="I33" s="377" t="str">
        <f>IF(I32="","",I32*$I$5/1000000)</f>
        <v/>
      </c>
      <c r="J33" s="377"/>
    </row>
    <row r="34" spans="2:10" ht="15.75" customHeight="1" x14ac:dyDescent="0.3"/>
    <row r="35" spans="2:10" ht="15.75" customHeight="1" x14ac:dyDescent="0.3"/>
    <row r="36" spans="2:10" ht="15.75" customHeight="1" x14ac:dyDescent="0.3"/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48">
    <mergeCell ref="G26:H26"/>
    <mergeCell ref="E27:F27"/>
    <mergeCell ref="C27:D27"/>
    <mergeCell ref="E16:E18"/>
    <mergeCell ref="G23:J23"/>
    <mergeCell ref="E26:F26"/>
    <mergeCell ref="C16:C18"/>
    <mergeCell ref="G16:G18"/>
    <mergeCell ref="I27:J27"/>
    <mergeCell ref="G27:H27"/>
    <mergeCell ref="C2:D2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I16">
    <cfRule type="cellIs" dxfId="12" priority="19" operator="lessThan">
      <formula>0</formula>
    </cfRule>
  </conditionalFormatting>
  <conditionalFormatting sqref="C26:G26 I26 C28:G29 I28:I29">
    <cfRule type="containsBlanks" priority="13">
      <formula>LEN(TRIM(C26))=0</formula>
    </cfRule>
  </conditionalFormatting>
  <conditionalFormatting sqref="D16:D18">
    <cfRule type="cellIs" dxfId="11" priority="9" operator="lessThan">
      <formula>0</formula>
    </cfRule>
  </conditionalFormatting>
  <conditionalFormatting sqref="H16">
    <cfRule type="cellIs" dxfId="10" priority="4" operator="greaterThan">
      <formula>$B$16</formula>
    </cfRule>
  </conditionalFormatting>
  <conditionalFormatting sqref="H14">
    <cfRule type="cellIs" dxfId="9" priority="1" operator="greaterThan">
      <formula>$B$16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F15" sqref="F15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8"/>
      <c r="B1" s="39"/>
      <c r="C1" s="40"/>
      <c r="D1" s="40"/>
      <c r="E1" s="40"/>
      <c r="F1" s="40"/>
    </row>
    <row r="2" spans="1:14" ht="15.75" customHeight="1" x14ac:dyDescent="0.3">
      <c r="A2" s="41"/>
      <c r="B2" s="11" t="s">
        <v>44</v>
      </c>
      <c r="C2" s="42"/>
      <c r="D2" s="42"/>
      <c r="E2" s="42"/>
      <c r="F2" s="42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45</v>
      </c>
      <c r="C3" s="181">
        <v>44651</v>
      </c>
      <c r="D3" s="6"/>
      <c r="E3" s="211">
        <v>1</v>
      </c>
      <c r="F3" s="209">
        <f t="array" ref="F3">AVERAGE(C19:INDEX(C19:M19,1,E3))</f>
        <v>172700</v>
      </c>
      <c r="G3" s="6"/>
      <c r="H3" s="5"/>
      <c r="I3" s="6"/>
      <c r="J3" s="206"/>
      <c r="K3" s="6"/>
      <c r="L3" s="6"/>
      <c r="M3" s="6"/>
    </row>
    <row r="4" spans="1:14" ht="15.75" customHeight="1" x14ac:dyDescent="0.3">
      <c r="A4" s="9"/>
      <c r="B4" s="5" t="s">
        <v>46</v>
      </c>
      <c r="C4" s="37">
        <v>1000</v>
      </c>
      <c r="D4" s="6"/>
      <c r="E4" s="43">
        <f>E3</f>
        <v>1</v>
      </c>
      <c r="F4" s="210">
        <f>AVERAGE(C16:INDEX(C16:M16,1,E4))</f>
        <v>216450</v>
      </c>
      <c r="G4" s="6"/>
      <c r="I4" s="6"/>
      <c r="J4" s="113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4"/>
      <c r="C6" s="334">
        <f>C3</f>
        <v>44651</v>
      </c>
      <c r="D6" s="335">
        <f>EOMONTH(EDATE(C6,-12),0)</f>
        <v>44286</v>
      </c>
      <c r="E6" s="335">
        <f t="shared" ref="E6:M6" si="0">EOMONTH(EDATE(D6,-12),0)</f>
        <v>43921</v>
      </c>
      <c r="F6" s="335">
        <f t="shared" si="0"/>
        <v>43555</v>
      </c>
      <c r="G6" s="335">
        <f t="shared" si="0"/>
        <v>43190</v>
      </c>
      <c r="H6" s="335">
        <f t="shared" si="0"/>
        <v>42825</v>
      </c>
      <c r="I6" s="335">
        <f t="shared" si="0"/>
        <v>42460</v>
      </c>
      <c r="J6" s="335">
        <f t="shared" si="0"/>
        <v>42094</v>
      </c>
      <c r="K6" s="335">
        <f t="shared" si="0"/>
        <v>41729</v>
      </c>
      <c r="L6" s="335">
        <f t="shared" si="0"/>
        <v>41364</v>
      </c>
      <c r="M6" s="335">
        <f t="shared" si="0"/>
        <v>40999</v>
      </c>
    </row>
    <row r="7" spans="1:14" ht="15.75" customHeight="1" x14ac:dyDescent="0.3">
      <c r="A7" s="9"/>
      <c r="B7" s="45" t="s">
        <v>47</v>
      </c>
      <c r="C7" s="37">
        <v>2370500</v>
      </c>
      <c r="D7" s="37">
        <v>2372300</v>
      </c>
      <c r="E7" s="37">
        <v>2165500</v>
      </c>
      <c r="F7" s="37">
        <v>2161900</v>
      </c>
      <c r="G7" s="37"/>
      <c r="H7" s="37"/>
      <c r="I7" s="37"/>
      <c r="J7" s="37"/>
      <c r="K7" s="37"/>
      <c r="L7" s="37"/>
      <c r="M7" s="291"/>
      <c r="N7" s="6"/>
    </row>
    <row r="8" spans="1:14" ht="15.75" customHeight="1" x14ac:dyDescent="0.3">
      <c r="A8" s="9"/>
      <c r="B8" s="46" t="s">
        <v>48</v>
      </c>
      <c r="C8" s="14">
        <f t="shared" ref="C8:L8" si="1">IF(D7="","",C7/D7-1)</f>
        <v>-7.5875732411578856E-4</v>
      </c>
      <c r="D8" s="14">
        <f t="shared" si="1"/>
        <v>9.5497575617640162E-2</v>
      </c>
      <c r="E8" s="14">
        <f t="shared" si="1"/>
        <v>1.6652019057310508E-3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51"/>
      <c r="N8" s="6"/>
    </row>
    <row r="9" spans="1:14" ht="15.75" customHeight="1" x14ac:dyDescent="0.3">
      <c r="A9" s="9"/>
      <c r="B9" s="46" t="s">
        <v>49</v>
      </c>
      <c r="C9" s="37">
        <v>1701400</v>
      </c>
      <c r="D9" s="37">
        <v>1645700</v>
      </c>
      <c r="E9" s="37">
        <v>1501900</v>
      </c>
      <c r="F9" s="37">
        <v>1525500</v>
      </c>
      <c r="G9" s="37"/>
      <c r="H9" s="37"/>
      <c r="I9" s="37"/>
      <c r="J9" s="37"/>
      <c r="K9" s="37"/>
      <c r="L9" s="37"/>
      <c r="M9" s="291"/>
      <c r="N9" s="6"/>
    </row>
    <row r="10" spans="1:14" ht="15.75" customHeight="1" x14ac:dyDescent="0.3">
      <c r="A10" s="9"/>
      <c r="B10" s="46" t="s">
        <v>50</v>
      </c>
      <c r="C10" s="14">
        <f t="shared" ref="C10:M10" si="2">IF(C7="","",(C7-C9)/C7)</f>
        <v>0.282261126344653</v>
      </c>
      <c r="D10" s="14">
        <f t="shared" si="2"/>
        <v>0.30628503983475952</v>
      </c>
      <c r="E10" s="14">
        <f t="shared" si="2"/>
        <v>0.30644193027014549</v>
      </c>
      <c r="F10" s="14">
        <f t="shared" si="2"/>
        <v>0.29437069244645914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51" t="str">
        <f t="shared" si="2"/>
        <v/>
      </c>
      <c r="N10" s="6"/>
    </row>
    <row r="11" spans="1:14" ht="15.75" customHeight="1" x14ac:dyDescent="0.3">
      <c r="A11" s="9"/>
      <c r="B11" s="46" t="s">
        <v>51</v>
      </c>
      <c r="C11" s="37">
        <v>380500</v>
      </c>
      <c r="D11" s="37">
        <v>378200</v>
      </c>
      <c r="E11" s="37">
        <v>368100</v>
      </c>
      <c r="F11" s="37">
        <v>371900</v>
      </c>
      <c r="G11" s="37"/>
      <c r="H11" s="37"/>
      <c r="I11" s="37"/>
      <c r="J11" s="37"/>
      <c r="K11" s="37"/>
      <c r="L11" s="37"/>
      <c r="M11" s="291"/>
      <c r="N11" s="6"/>
    </row>
    <row r="12" spans="1:14" ht="15.75" customHeight="1" x14ac:dyDescent="0.3">
      <c r="A12" s="9"/>
      <c r="B12" s="46" t="s">
        <v>52</v>
      </c>
      <c r="C12" s="14">
        <f t="shared" ref="C12:M12" si="3">IF(C7="","",C10-C13)</f>
        <v>0.16051465935456652</v>
      </c>
      <c r="D12" s="14">
        <f t="shared" si="3"/>
        <v>0.15942334443367198</v>
      </c>
      <c r="E12" s="14">
        <f t="shared" si="3"/>
        <v>0.16998383745093515</v>
      </c>
      <c r="F12" s="14">
        <f t="shared" si="3"/>
        <v>0.17202460798371805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51" t="str">
        <f t="shared" si="3"/>
        <v/>
      </c>
      <c r="N12" s="6"/>
    </row>
    <row r="13" spans="1:14" ht="15.75" customHeight="1" x14ac:dyDescent="0.3">
      <c r="A13" s="9"/>
      <c r="B13" s="46" t="s">
        <v>53</v>
      </c>
      <c r="C13" s="14">
        <f t="shared" ref="C13:M13" si="4">IF(C14="","",C14/C7)</f>
        <v>0.12174646699008648</v>
      </c>
      <c r="D13" s="14">
        <f t="shared" si="4"/>
        <v>0.14686169540108754</v>
      </c>
      <c r="E13" s="14">
        <f t="shared" si="4"/>
        <v>0.13645809281921034</v>
      </c>
      <c r="F13" s="14">
        <f t="shared" si="4"/>
        <v>0.1223460844627411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51" t="str">
        <f t="shared" si="4"/>
        <v/>
      </c>
      <c r="N13" s="6"/>
    </row>
    <row r="14" spans="1:14" ht="15.75" customHeight="1" x14ac:dyDescent="0.3">
      <c r="A14" s="9"/>
      <c r="B14" s="46" t="s">
        <v>54</v>
      </c>
      <c r="C14" s="29">
        <f t="shared" ref="C14:M14" si="5">IF(C7="","",C7-C9-C11)</f>
        <v>288600</v>
      </c>
      <c r="D14" s="29">
        <f t="shared" si="5"/>
        <v>348400</v>
      </c>
      <c r="E14" s="29">
        <f t="shared" si="5"/>
        <v>295500</v>
      </c>
      <c r="F14" s="29">
        <f t="shared" si="5"/>
        <v>264500</v>
      </c>
      <c r="G14" s="29" t="str">
        <f t="shared" si="5"/>
        <v/>
      </c>
      <c r="H14" s="29" t="str">
        <f t="shared" si="5"/>
        <v/>
      </c>
      <c r="I14" s="29" t="str">
        <f t="shared" si="5"/>
        <v/>
      </c>
      <c r="J14" s="29" t="str">
        <f t="shared" si="5"/>
        <v/>
      </c>
      <c r="K14" s="29" t="str">
        <f t="shared" si="5"/>
        <v/>
      </c>
      <c r="L14" s="29" t="str">
        <f t="shared" si="5"/>
        <v/>
      </c>
      <c r="M14" s="292" t="str">
        <f t="shared" si="5"/>
        <v/>
      </c>
      <c r="N14" s="6"/>
    </row>
    <row r="15" spans="1:14" ht="15.75" customHeight="1" x14ac:dyDescent="0.3">
      <c r="A15" s="9"/>
      <c r="B15" s="46" t="s">
        <v>55</v>
      </c>
      <c r="C15" s="14">
        <f>IF(D14="","",IF(ABS(C14+D14)=ABS(C14)+ABS(D14),IF(C14&lt;0,-1,1)*(C14-D14)/D14,"Turn"))</f>
        <v>-0.17164179104477612</v>
      </c>
      <c r="D15" s="14">
        <f t="shared" ref="D15:M15" si="6">IF(E14="","",IF(ABS(D14+E14)=ABS(D14)+ABS(E14),IF(D14&lt;0,-1,1)*(D14-E14)/E14,"Turn"))</f>
        <v>0.17901861252115059</v>
      </c>
      <c r="E15" s="14">
        <f t="shared" si="6"/>
        <v>0.11720226843100189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51" t="str">
        <f t="shared" si="6"/>
        <v/>
      </c>
      <c r="N15" s="6"/>
    </row>
    <row r="16" spans="1:14" ht="15.75" customHeight="1" x14ac:dyDescent="0.3">
      <c r="A16" s="9"/>
      <c r="B16" s="46" t="s">
        <v>56</v>
      </c>
      <c r="C16" s="172">
        <f>IF(C14="","",C14*(1-'FCFF Model'!$D$6))</f>
        <v>216450</v>
      </c>
      <c r="D16" s="172">
        <f>IF(D14="","",D14*(1-'FCFF Model'!$D$6))</f>
        <v>261300</v>
      </c>
      <c r="E16" s="172">
        <f>IF(E14="","",E14*(1-'FCFF Model'!$D$6))</f>
        <v>221625</v>
      </c>
      <c r="F16" s="172">
        <f>IF(F14="","",F14*(1-'FCFF Model'!$D$6))</f>
        <v>198375</v>
      </c>
      <c r="G16" s="172" t="str">
        <f>IF(G14="","",G14*(1-'FCFF Model'!$D$6))</f>
        <v/>
      </c>
      <c r="H16" s="172" t="str">
        <f>IF(H14="","",H14*(1-'FCFF Model'!$D$6))</f>
        <v/>
      </c>
      <c r="I16" s="172" t="str">
        <f>IF(I14="","",I14*(1-'FCFF Model'!$D$6))</f>
        <v/>
      </c>
      <c r="J16" s="172" t="str">
        <f>IF(J14="","",J14*(1-'FCFF Model'!$D$6))</f>
        <v/>
      </c>
      <c r="K16" s="172" t="str">
        <f>IF(K14="","",K14*(1-'FCFF Model'!$D$6))</f>
        <v/>
      </c>
      <c r="L16" s="172" t="str">
        <f>IF(L14="","",L14*(1-'FCFF Model'!$D$6))</f>
        <v/>
      </c>
      <c r="M16" s="293" t="str">
        <f>IF(M14="","",M14*(1-'FCFF Model'!$D$6))</f>
        <v/>
      </c>
      <c r="N16" s="6"/>
    </row>
    <row r="17" spans="1:14" ht="15.75" customHeight="1" x14ac:dyDescent="0.3">
      <c r="A17" s="9"/>
      <c r="B17" s="171" t="s">
        <v>57</v>
      </c>
      <c r="C17" s="158">
        <f t="shared" ref="C17:M17" si="7">IF(C7="","",C16/C7)</f>
        <v>9.1309850242564855E-2</v>
      </c>
      <c r="D17" s="158">
        <f t="shared" si="7"/>
        <v>0.11014627155081566</v>
      </c>
      <c r="E17" s="158">
        <f t="shared" si="7"/>
        <v>0.10234356961440776</v>
      </c>
      <c r="F17" s="158">
        <f t="shared" si="7"/>
        <v>9.1759563347055831E-2</v>
      </c>
      <c r="G17" s="158" t="str">
        <f t="shared" si="7"/>
        <v/>
      </c>
      <c r="H17" s="158" t="str">
        <f t="shared" si="7"/>
        <v/>
      </c>
      <c r="I17" s="158" t="str">
        <f t="shared" si="7"/>
        <v/>
      </c>
      <c r="J17" s="158" t="str">
        <f t="shared" si="7"/>
        <v/>
      </c>
      <c r="K17" s="158" t="str">
        <f t="shared" si="7"/>
        <v/>
      </c>
      <c r="L17" s="158" t="str">
        <f t="shared" si="7"/>
        <v/>
      </c>
      <c r="M17" s="294" t="str">
        <f t="shared" si="7"/>
        <v/>
      </c>
      <c r="N17" s="6"/>
    </row>
    <row r="18" spans="1:14" ht="15.75" customHeight="1" x14ac:dyDescent="0.3">
      <c r="A18" s="9"/>
      <c r="B18" s="46" t="s">
        <v>331</v>
      </c>
      <c r="C18" s="173">
        <v>9600</v>
      </c>
      <c r="D18" s="173">
        <v>7300</v>
      </c>
      <c r="E18" s="173">
        <v>7400</v>
      </c>
      <c r="F18" s="173">
        <v>0</v>
      </c>
      <c r="G18" s="173"/>
      <c r="H18" s="173"/>
      <c r="I18" s="173"/>
      <c r="J18" s="173"/>
      <c r="K18" s="173"/>
      <c r="L18" s="173"/>
      <c r="M18" s="295"/>
      <c r="N18" s="6"/>
    </row>
    <row r="19" spans="1:14" ht="15.75" customHeight="1" x14ac:dyDescent="0.3">
      <c r="A19" s="9"/>
      <c r="B19" s="46" t="s">
        <v>58</v>
      </c>
      <c r="C19" s="37">
        <v>172700</v>
      </c>
      <c r="D19" s="37">
        <v>230900</v>
      </c>
      <c r="E19" s="37">
        <v>190700</v>
      </c>
      <c r="F19" s="37">
        <v>171300</v>
      </c>
      <c r="G19" s="37"/>
      <c r="H19" s="37"/>
      <c r="I19" s="37"/>
      <c r="J19" s="37"/>
      <c r="K19" s="37"/>
      <c r="L19" s="37"/>
      <c r="M19" s="291"/>
      <c r="N19" s="6"/>
    </row>
    <row r="20" spans="1:14" ht="15.75" customHeight="1" x14ac:dyDescent="0.3">
      <c r="A20" s="9"/>
      <c r="B20" s="46" t="s">
        <v>361</v>
      </c>
      <c r="C20" s="14">
        <f>IF(D19="","",IF(ABS(C19+D19)=ABS(C19)+ABS(D19),IF(C19&lt;0,-1,1)*(C19-D19)/D19,"Turn"))</f>
        <v>-0.25205716760502384</v>
      </c>
      <c r="D20" s="14">
        <f t="shared" ref="D20:M20" si="8">IF(E19="","",IF(ABS(D19+E19)=ABS(D19)+ABS(E19),IF(D19&lt;0,-1,1)*(D19-E19)/E19,"Turn"))</f>
        <v>0.21080230728893551</v>
      </c>
      <c r="E20" s="14">
        <f t="shared" si="8"/>
        <v>0.11325160537069469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51" t="str">
        <f t="shared" si="8"/>
        <v/>
      </c>
      <c r="N20" s="6"/>
    </row>
    <row r="21" spans="1:14" ht="15.75" customHeight="1" x14ac:dyDescent="0.3">
      <c r="A21" s="9"/>
      <c r="B21" s="46" t="s">
        <v>59</v>
      </c>
      <c r="C21" s="208">
        <v>1142200</v>
      </c>
      <c r="D21" s="37">
        <v>1080300</v>
      </c>
      <c r="E21" s="37">
        <v>889800</v>
      </c>
      <c r="F21" s="37">
        <v>929600</v>
      </c>
      <c r="G21" s="37"/>
      <c r="H21" s="37"/>
      <c r="I21" s="37"/>
      <c r="J21" s="37"/>
      <c r="K21" s="37"/>
      <c r="L21" s="37"/>
      <c r="M21" s="291"/>
      <c r="N21" s="6"/>
    </row>
    <row r="22" spans="1:14" ht="15.75" customHeight="1" x14ac:dyDescent="0.3">
      <c r="A22" s="9"/>
      <c r="B22" s="46" t="s">
        <v>60</v>
      </c>
      <c r="C22" s="208">
        <v>628000</v>
      </c>
      <c r="D22" s="37">
        <v>523000</v>
      </c>
      <c r="E22" s="37">
        <v>441900</v>
      </c>
      <c r="F22" s="37">
        <v>476500</v>
      </c>
      <c r="G22" s="37"/>
      <c r="H22" s="37"/>
      <c r="I22" s="37"/>
      <c r="J22" s="37"/>
      <c r="K22" s="37"/>
      <c r="L22" s="37"/>
      <c r="M22" s="291"/>
      <c r="N22" s="6"/>
    </row>
    <row r="23" spans="1:14" ht="15.5" customHeight="1" x14ac:dyDescent="0.3">
      <c r="A23" s="9"/>
      <c r="B23" s="46" t="s">
        <v>61</v>
      </c>
      <c r="C23" s="208">
        <v>20600</v>
      </c>
      <c r="D23" s="37">
        <v>17500</v>
      </c>
      <c r="E23" s="37">
        <v>17900</v>
      </c>
      <c r="F23" s="37">
        <v>0</v>
      </c>
      <c r="G23" s="37"/>
      <c r="H23" s="37"/>
      <c r="I23" s="37"/>
      <c r="J23" s="37"/>
      <c r="K23" s="37"/>
      <c r="L23" s="37"/>
      <c r="M23" s="291"/>
      <c r="N23" s="6"/>
    </row>
    <row r="24" spans="1:14" ht="15.75" customHeight="1" x14ac:dyDescent="0.3">
      <c r="A24" s="9"/>
      <c r="B24" s="170" t="s">
        <v>62</v>
      </c>
      <c r="C24" s="328">
        <v>20600</v>
      </c>
      <c r="D24" s="169">
        <v>17500</v>
      </c>
      <c r="E24" s="169">
        <v>17900</v>
      </c>
      <c r="F24" s="169">
        <v>0</v>
      </c>
      <c r="G24" s="169"/>
      <c r="H24" s="169"/>
      <c r="I24" s="169"/>
      <c r="J24" s="169"/>
      <c r="K24" s="169"/>
      <c r="L24" s="169"/>
      <c r="M24" s="296"/>
      <c r="N24" s="6"/>
    </row>
    <row r="25" spans="1:14" ht="15.75" customHeight="1" x14ac:dyDescent="0.3">
      <c r="A25" s="9"/>
      <c r="B25" s="46" t="s">
        <v>63</v>
      </c>
      <c r="C25" s="208">
        <v>176500</v>
      </c>
      <c r="D25" s="37">
        <v>188600</v>
      </c>
      <c r="E25" s="37">
        <v>147300</v>
      </c>
      <c r="F25" s="37">
        <v>0</v>
      </c>
      <c r="G25" s="37"/>
      <c r="H25" s="37"/>
      <c r="I25" s="37"/>
      <c r="J25" s="37"/>
      <c r="K25" s="37"/>
      <c r="L25" s="37"/>
      <c r="M25" s="291"/>
      <c r="N25" s="6"/>
    </row>
    <row r="26" spans="1:14" ht="15.75" customHeight="1" x14ac:dyDescent="0.3">
      <c r="A26" s="9"/>
      <c r="B26" s="170" t="s">
        <v>64</v>
      </c>
      <c r="C26" s="207">
        <v>176500</v>
      </c>
      <c r="D26" s="169">
        <v>188600</v>
      </c>
      <c r="E26" s="169">
        <v>147300</v>
      </c>
      <c r="F26" s="169">
        <v>0</v>
      </c>
      <c r="G26" s="169"/>
      <c r="H26" s="169"/>
      <c r="I26" s="169"/>
      <c r="J26" s="169"/>
      <c r="K26" s="169"/>
      <c r="L26" s="169"/>
      <c r="M26" s="296"/>
      <c r="N26" s="6"/>
    </row>
    <row r="27" spans="1:14" ht="15.75" customHeight="1" x14ac:dyDescent="0.3">
      <c r="A27" s="9"/>
      <c r="B27" s="46" t="s">
        <v>65</v>
      </c>
      <c r="C27" s="29">
        <f t="shared" ref="C27:M27" si="9">IF(C7="","",C23+C25)</f>
        <v>197100</v>
      </c>
      <c r="D27" s="29">
        <f t="shared" si="9"/>
        <v>206100</v>
      </c>
      <c r="E27" s="29">
        <f t="shared" si="9"/>
        <v>165200</v>
      </c>
      <c r="F27" s="29">
        <f t="shared" si="9"/>
        <v>0</v>
      </c>
      <c r="G27" s="29" t="str">
        <f t="shared" si="9"/>
        <v/>
      </c>
      <c r="H27" s="29" t="str">
        <f t="shared" si="9"/>
        <v/>
      </c>
      <c r="I27" s="29" t="str">
        <f t="shared" si="9"/>
        <v/>
      </c>
      <c r="J27" s="29" t="str">
        <f t="shared" si="9"/>
        <v/>
      </c>
      <c r="K27" s="29" t="str">
        <f t="shared" si="9"/>
        <v/>
      </c>
      <c r="L27" s="29" t="str">
        <f t="shared" si="9"/>
        <v/>
      </c>
      <c r="M27" s="292" t="str">
        <f t="shared" si="9"/>
        <v/>
      </c>
      <c r="N27" s="6"/>
    </row>
    <row r="28" spans="1:14" ht="15.75" customHeight="1" x14ac:dyDescent="0.3">
      <c r="A28" s="9"/>
      <c r="B28" s="46" t="s">
        <v>66</v>
      </c>
      <c r="C28" s="208">
        <v>678800</v>
      </c>
      <c r="D28" s="37">
        <v>731100</v>
      </c>
      <c r="E28" s="37">
        <v>601500</v>
      </c>
      <c r="F28" s="37">
        <v>607000</v>
      </c>
      <c r="G28" s="37"/>
      <c r="H28" s="37"/>
      <c r="I28" s="37"/>
      <c r="J28" s="37"/>
      <c r="K28" s="37"/>
      <c r="L28" s="37"/>
      <c r="M28" s="291"/>
      <c r="N28" s="6"/>
    </row>
    <row r="29" spans="1:14" ht="15.75" customHeight="1" x14ac:dyDescent="0.3">
      <c r="A29" s="9"/>
      <c r="B29" s="170" t="s">
        <v>274</v>
      </c>
      <c r="C29" s="207">
        <v>678800</v>
      </c>
      <c r="D29" s="169">
        <v>731100</v>
      </c>
      <c r="E29" s="169">
        <v>601500</v>
      </c>
      <c r="F29" s="169">
        <v>607000</v>
      </c>
      <c r="G29" s="169"/>
      <c r="H29" s="169"/>
      <c r="I29" s="169"/>
      <c r="J29" s="169"/>
      <c r="K29" s="169"/>
      <c r="L29" s="169"/>
      <c r="M29" s="296"/>
      <c r="N29" s="6"/>
    </row>
    <row r="30" spans="1:14" ht="15.75" customHeight="1" x14ac:dyDescent="0.3">
      <c r="A30" s="9"/>
      <c r="B30" s="46" t="s">
        <v>67</v>
      </c>
      <c r="C30" s="208">
        <v>268100</v>
      </c>
      <c r="D30" s="37">
        <v>285300</v>
      </c>
      <c r="E30" s="37">
        <v>232200</v>
      </c>
      <c r="F30" s="37">
        <v>88800</v>
      </c>
      <c r="G30" s="37"/>
      <c r="H30" s="37"/>
      <c r="I30" s="37"/>
      <c r="J30" s="37"/>
      <c r="K30" s="37"/>
      <c r="L30" s="37"/>
      <c r="M30" s="291"/>
      <c r="N30" s="6"/>
    </row>
    <row r="31" spans="1:14" ht="15.75" customHeight="1" x14ac:dyDescent="0.3">
      <c r="A31" s="9"/>
      <c r="B31" s="46" t="s">
        <v>303</v>
      </c>
      <c r="C31" s="208">
        <v>195800</v>
      </c>
      <c r="D31" s="37">
        <v>343800</v>
      </c>
      <c r="E31" s="37">
        <v>242500</v>
      </c>
      <c r="F31" s="37">
        <v>237000</v>
      </c>
      <c r="G31" s="37"/>
      <c r="H31" s="37"/>
      <c r="I31" s="37"/>
      <c r="J31" s="37"/>
      <c r="K31" s="37"/>
      <c r="L31" s="37"/>
      <c r="M31" s="291"/>
      <c r="N31" s="6"/>
    </row>
    <row r="32" spans="1:14" ht="15.75" customHeight="1" x14ac:dyDescent="0.3">
      <c r="A32" s="9"/>
      <c r="B32" s="46" t="s">
        <v>68</v>
      </c>
      <c r="C32" s="14">
        <f t="shared" ref="C32:M32" si="10">IF(D7="","",(C30-D30)/C30)</f>
        <v>-6.4155165982842224E-2</v>
      </c>
      <c r="D32" s="14">
        <f t="shared" si="10"/>
        <v>0.18611987381703471</v>
      </c>
      <c r="E32" s="14">
        <f t="shared" si="10"/>
        <v>0.61757105943152457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51" t="str">
        <f t="shared" si="10"/>
        <v/>
      </c>
      <c r="N32" s="6"/>
    </row>
    <row r="33" spans="1:14" ht="15.75" customHeight="1" x14ac:dyDescent="0.3">
      <c r="A33" s="9"/>
      <c r="B33" s="46" t="s">
        <v>69</v>
      </c>
      <c r="C33" s="298">
        <f>IF(D7="","",(C7-D7)*Asset_Model!$D$65)</f>
        <v>-270</v>
      </c>
      <c r="D33" s="298">
        <f>IF(E7="","",(D7-E7)*Asset_Model!$D$65)</f>
        <v>31020</v>
      </c>
      <c r="E33" s="298">
        <f>IF(F7="","",(E7-F7)*Asset_Model!$D$65)</f>
        <v>540</v>
      </c>
      <c r="F33" s="298" t="str">
        <f>IF(G7="","",(F7-G7)*Asset_Model!$D$65)</f>
        <v/>
      </c>
      <c r="G33" s="298" t="str">
        <f>IF(H7="","",(G7-H7)*Asset_Model!$D$65)</f>
        <v/>
      </c>
      <c r="H33" s="298" t="str">
        <f>IF(I7="","",(H7-I7)*Asset_Model!$D$65)</f>
        <v/>
      </c>
      <c r="I33" s="298" t="str">
        <f>IF(J7="","",(I7-J7)*Asset_Model!$D$65)</f>
        <v/>
      </c>
      <c r="J33" s="298" t="str">
        <f>IF(K7="","",(J7-K7)*Asset_Model!$D$65)</f>
        <v/>
      </c>
      <c r="K33" s="298" t="str">
        <f>IF(L7="","",(K7-L7)*Asset_Model!$D$65)</f>
        <v/>
      </c>
      <c r="L33" s="298" t="str">
        <f>IF(M7="","",(L7-M7)*Asset_Model!$D$65)</f>
        <v/>
      </c>
      <c r="M33" s="299" t="str">
        <f>IF(N7="","",(M7-N7)*Asset_Model!$D$65)</f>
        <v/>
      </c>
      <c r="N33" s="6"/>
    </row>
    <row r="34" spans="1:14" ht="15.75" customHeight="1" x14ac:dyDescent="0.3">
      <c r="A34" s="9"/>
      <c r="B34" s="46" t="s">
        <v>70</v>
      </c>
      <c r="C34" s="172">
        <f t="shared" ref="C34:M34" si="11">IF(D7="","",C30-D30+C33)</f>
        <v>-17470</v>
      </c>
      <c r="D34" s="172">
        <f t="shared" si="11"/>
        <v>84120</v>
      </c>
      <c r="E34" s="172">
        <f t="shared" si="11"/>
        <v>143940</v>
      </c>
      <c r="F34" s="172" t="str">
        <f t="shared" si="11"/>
        <v/>
      </c>
      <c r="G34" s="172" t="str">
        <f t="shared" si="11"/>
        <v/>
      </c>
      <c r="H34" s="172" t="str">
        <f t="shared" si="11"/>
        <v/>
      </c>
      <c r="I34" s="172" t="str">
        <f t="shared" si="11"/>
        <v/>
      </c>
      <c r="J34" s="172" t="str">
        <f t="shared" si="11"/>
        <v/>
      </c>
      <c r="K34" s="172" t="str">
        <f t="shared" si="11"/>
        <v/>
      </c>
      <c r="L34" s="172" t="str">
        <f t="shared" si="11"/>
        <v/>
      </c>
      <c r="M34" s="293" t="str">
        <f t="shared" si="11"/>
        <v/>
      </c>
      <c r="N34" s="6"/>
    </row>
    <row r="35" spans="1:14" ht="15.75" customHeight="1" x14ac:dyDescent="0.3">
      <c r="A35" s="9"/>
      <c r="B35" s="297" t="s">
        <v>71</v>
      </c>
      <c r="C35" s="289">
        <f t="shared" ref="C35:M35" si="12">IF(C34="","",C34/C16)</f>
        <v>-8.071148071148071E-2</v>
      </c>
      <c r="D35" s="289">
        <f t="shared" si="12"/>
        <v>0.3219288174512055</v>
      </c>
      <c r="E35" s="289">
        <f t="shared" si="12"/>
        <v>0.6494754653130288</v>
      </c>
      <c r="F35" s="289" t="str">
        <f t="shared" si="12"/>
        <v/>
      </c>
      <c r="G35" s="289" t="str">
        <f t="shared" si="12"/>
        <v/>
      </c>
      <c r="H35" s="289" t="str">
        <f t="shared" si="12"/>
        <v/>
      </c>
      <c r="I35" s="289" t="str">
        <f t="shared" si="12"/>
        <v/>
      </c>
      <c r="J35" s="289" t="str">
        <f t="shared" si="12"/>
        <v/>
      </c>
      <c r="K35" s="289" t="str">
        <f t="shared" si="12"/>
        <v/>
      </c>
      <c r="L35" s="289" t="str">
        <f t="shared" si="12"/>
        <v/>
      </c>
      <c r="M35" s="290" t="str">
        <f t="shared" si="12"/>
        <v/>
      </c>
      <c r="N35" s="6"/>
    </row>
    <row r="36" spans="1:14" ht="15.75" customHeight="1" x14ac:dyDescent="0.3">
      <c r="A36" s="9"/>
      <c r="B36" s="49" t="s">
        <v>72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200" t="s">
        <v>332</v>
      </c>
      <c r="C37" s="197">
        <v>229700</v>
      </c>
      <c r="D37" s="197">
        <v>133600</v>
      </c>
      <c r="E37" s="197">
        <v>168700</v>
      </c>
      <c r="F37" s="197">
        <v>201300</v>
      </c>
      <c r="G37" s="197"/>
      <c r="H37" s="197"/>
      <c r="I37" s="197"/>
      <c r="J37" s="197"/>
      <c r="K37" s="197"/>
      <c r="L37" s="197"/>
      <c r="M37" s="198"/>
      <c r="N37" s="6"/>
    </row>
    <row r="38" spans="1:14" ht="15.75" customHeight="1" x14ac:dyDescent="0.3">
      <c r="A38" s="9"/>
      <c r="B38" s="171" t="s">
        <v>73</v>
      </c>
      <c r="C38" s="196">
        <v>1600</v>
      </c>
      <c r="D38" s="196">
        <v>2300</v>
      </c>
      <c r="E38" s="196">
        <v>1200</v>
      </c>
      <c r="F38" s="196">
        <v>3400</v>
      </c>
      <c r="G38" s="196"/>
      <c r="H38" s="196"/>
      <c r="I38" s="196"/>
      <c r="J38" s="196"/>
      <c r="K38" s="196"/>
      <c r="L38" s="196"/>
      <c r="M38" s="199"/>
      <c r="N38" s="6"/>
    </row>
    <row r="39" spans="1:14" ht="15.75" customHeight="1" x14ac:dyDescent="0.3">
      <c r="A39" s="9"/>
      <c r="B39" s="171" t="s">
        <v>270</v>
      </c>
      <c r="C39" s="202">
        <f t="shared" ref="C39:M39" si="13">IF(C37="","",C37*$C$4/Common_Shares)</f>
        <v>0.90897578966529746</v>
      </c>
      <c r="D39" s="202">
        <f t="shared" si="13"/>
        <v>0.52868596212139196</v>
      </c>
      <c r="E39" s="202">
        <f t="shared" si="13"/>
        <v>0.66758474408591939</v>
      </c>
      <c r="F39" s="202">
        <f t="shared" si="13"/>
        <v>0.79659045041194765</v>
      </c>
      <c r="G39" s="202" t="str">
        <f t="shared" si="13"/>
        <v/>
      </c>
      <c r="H39" s="202" t="str">
        <f t="shared" si="13"/>
        <v/>
      </c>
      <c r="I39" s="202" t="str">
        <f t="shared" si="13"/>
        <v/>
      </c>
      <c r="J39" s="202" t="str">
        <f t="shared" si="13"/>
        <v/>
      </c>
      <c r="K39" s="202" t="str">
        <f t="shared" si="13"/>
        <v/>
      </c>
      <c r="L39" s="202" t="str">
        <f t="shared" si="13"/>
        <v/>
      </c>
      <c r="M39" s="203" t="str">
        <f t="shared" si="13"/>
        <v/>
      </c>
      <c r="N39" s="6"/>
    </row>
    <row r="40" spans="1:14" ht="15.75" customHeight="1" x14ac:dyDescent="0.3">
      <c r="A40" s="9"/>
      <c r="B40" s="201" t="s">
        <v>271</v>
      </c>
      <c r="C40" s="204">
        <f t="shared" ref="C40:M40" si="14">IF(C38="","",C38*$C$4/Common_Shares)</f>
        <v>6.3315684086394253E-3</v>
      </c>
      <c r="D40" s="204">
        <f t="shared" si="14"/>
        <v>9.101629587419174E-3</v>
      </c>
      <c r="E40" s="204">
        <f t="shared" si="14"/>
        <v>4.7486763064795686E-3</v>
      </c>
      <c r="F40" s="204">
        <f t="shared" si="14"/>
        <v>1.3454582868358779E-2</v>
      </c>
      <c r="G40" s="204" t="str">
        <f t="shared" si="14"/>
        <v/>
      </c>
      <c r="H40" s="204" t="str">
        <f t="shared" si="14"/>
        <v/>
      </c>
      <c r="I40" s="204" t="str">
        <f t="shared" si="14"/>
        <v/>
      </c>
      <c r="J40" s="204" t="str">
        <f t="shared" si="14"/>
        <v/>
      </c>
      <c r="K40" s="204" t="str">
        <f t="shared" si="14"/>
        <v/>
      </c>
      <c r="L40" s="204" t="str">
        <f t="shared" si="14"/>
        <v/>
      </c>
      <c r="M40" s="205" t="str">
        <f t="shared" si="14"/>
        <v/>
      </c>
      <c r="N40" s="6"/>
    </row>
    <row r="41" spans="1:14" ht="15.75" customHeight="1" x14ac:dyDescent="0.3">
      <c r="A41" s="9"/>
      <c r="B41" s="116" t="s">
        <v>74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5" t="s">
        <v>75</v>
      </c>
      <c r="C42" s="50">
        <f>IF(C29="","",C25/C28)</f>
        <v>0.26001767825574545</v>
      </c>
      <c r="D42" s="50">
        <f t="shared" ref="D42:M42" si="15">IF(D29="","",D25/D29)</f>
        <v>0.25796744631377377</v>
      </c>
      <c r="E42" s="50">
        <f t="shared" si="15"/>
        <v>0.24488778054862842</v>
      </c>
      <c r="F42" s="50">
        <f t="shared" si="15"/>
        <v>0</v>
      </c>
      <c r="G42" s="50" t="str">
        <f t="shared" si="15"/>
        <v/>
      </c>
      <c r="H42" s="50" t="str">
        <f t="shared" si="15"/>
        <v/>
      </c>
      <c r="I42" s="50" t="str">
        <f t="shared" si="15"/>
        <v/>
      </c>
      <c r="J42" s="50" t="str">
        <f t="shared" si="15"/>
        <v/>
      </c>
      <c r="K42" s="50" t="str">
        <f t="shared" si="15"/>
        <v/>
      </c>
      <c r="L42" s="50" t="str">
        <f t="shared" si="15"/>
        <v/>
      </c>
      <c r="M42" s="250" t="str">
        <f t="shared" si="15"/>
        <v/>
      </c>
      <c r="N42" s="6"/>
    </row>
    <row r="43" spans="1:14" ht="15.75" customHeight="1" x14ac:dyDescent="0.3">
      <c r="A43" s="9"/>
      <c r="B43" s="46" t="s">
        <v>327</v>
      </c>
      <c r="C43" s="14">
        <f t="shared" ref="C43:M43" si="16">IF(C29="","",C27/C29)</f>
        <v>0.29036535061873897</v>
      </c>
      <c r="D43" s="14">
        <f t="shared" si="16"/>
        <v>0.28190398030365205</v>
      </c>
      <c r="E43" s="14">
        <f t="shared" si="16"/>
        <v>0.27464671654197836</v>
      </c>
      <c r="F43" s="14">
        <f t="shared" si="16"/>
        <v>0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51" t="str">
        <f t="shared" si="16"/>
        <v/>
      </c>
      <c r="N43" s="6"/>
    </row>
    <row r="44" spans="1:14" ht="15.75" customHeight="1" x14ac:dyDescent="0.3">
      <c r="A44" s="9"/>
      <c r="B44" s="46" t="s">
        <v>76</v>
      </c>
      <c r="C44" s="52">
        <f t="shared" ref="C44:M44" si="17">IF(C14="","",IF(C27&lt;=0,"-",C14/C27))</f>
        <v>1.4642313546423136</v>
      </c>
      <c r="D44" s="52">
        <f t="shared" si="17"/>
        <v>1.690441533236293</v>
      </c>
      <c r="E44" s="52">
        <f t="shared" si="17"/>
        <v>1.7887409200968523</v>
      </c>
      <c r="F44" s="52" t="str">
        <f t="shared" si="17"/>
        <v>-</v>
      </c>
      <c r="G44" s="52" t="str">
        <f t="shared" si="17"/>
        <v/>
      </c>
      <c r="H44" s="52" t="str">
        <f t="shared" si="17"/>
        <v/>
      </c>
      <c r="I44" s="52" t="str">
        <f t="shared" si="17"/>
        <v/>
      </c>
      <c r="J44" s="52" t="str">
        <f t="shared" si="17"/>
        <v/>
      </c>
      <c r="K44" s="52" t="str">
        <f t="shared" si="17"/>
        <v/>
      </c>
      <c r="L44" s="52" t="str">
        <f t="shared" si="17"/>
        <v/>
      </c>
      <c r="M44" s="252" t="str">
        <f t="shared" si="17"/>
        <v/>
      </c>
      <c r="N44" s="6"/>
    </row>
    <row r="45" spans="1:14" ht="15.75" customHeight="1" x14ac:dyDescent="0.3">
      <c r="A45" s="9"/>
      <c r="B45" s="46" t="s">
        <v>77</v>
      </c>
      <c r="C45" s="14">
        <f t="shared" ref="C45:M45" si="18">IF(C16="","",IF(C18&lt;=0,"-",C18/C16))</f>
        <v>4.4352044352044352E-2</v>
      </c>
      <c r="D45" s="14">
        <f t="shared" si="18"/>
        <v>2.7937236892460773E-2</v>
      </c>
      <c r="E45" s="14">
        <f t="shared" si="18"/>
        <v>3.3389734912577552E-2</v>
      </c>
      <c r="F45" s="14" t="str">
        <f t="shared" si="18"/>
        <v>-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51" t="str">
        <f t="shared" si="18"/>
        <v/>
      </c>
      <c r="N45" s="6"/>
    </row>
    <row r="46" spans="1:14" ht="15.75" customHeight="1" x14ac:dyDescent="0.3">
      <c r="A46" s="9"/>
      <c r="B46" s="48" t="s">
        <v>78</v>
      </c>
      <c r="C46" s="53">
        <f t="shared" ref="C46:M46" si="19">IF(C21="","",C21/C22)</f>
        <v>1.8187898089171974</v>
      </c>
      <c r="D46" s="53">
        <f t="shared" si="19"/>
        <v>2.0655831739961759</v>
      </c>
      <c r="E46" s="53">
        <f t="shared" si="19"/>
        <v>2.0135777325186694</v>
      </c>
      <c r="F46" s="53">
        <f t="shared" si="19"/>
        <v>1.9508919202518362</v>
      </c>
      <c r="G46" s="53" t="str">
        <f t="shared" si="19"/>
        <v/>
      </c>
      <c r="H46" s="53" t="str">
        <f t="shared" si="19"/>
        <v/>
      </c>
      <c r="I46" s="53" t="str">
        <f t="shared" si="19"/>
        <v/>
      </c>
      <c r="J46" s="53" t="str">
        <f t="shared" si="19"/>
        <v/>
      </c>
      <c r="K46" s="53" t="str">
        <f t="shared" si="19"/>
        <v/>
      </c>
      <c r="L46" s="53" t="str">
        <f t="shared" si="19"/>
        <v/>
      </c>
      <c r="M46" s="253" t="str">
        <f t="shared" si="19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2" t="s">
        <v>79</v>
      </c>
      <c r="C48" s="54"/>
      <c r="D48" s="54"/>
      <c r="E48" s="54"/>
      <c r="F48" s="54"/>
    </row>
    <row r="49" spans="1:6" ht="15" customHeight="1" x14ac:dyDescent="0.3">
      <c r="A49" s="9"/>
      <c r="B49" s="55" t="s">
        <v>80</v>
      </c>
      <c r="C49" s="6"/>
      <c r="D49" s="444" t="s">
        <v>81</v>
      </c>
      <c r="E49" s="391"/>
      <c r="F49" s="6"/>
    </row>
    <row r="50" spans="1:6" ht="15" customHeight="1" x14ac:dyDescent="0.3">
      <c r="A50" s="9"/>
      <c r="B50" s="55"/>
      <c r="D50" s="24"/>
      <c r="E50" s="24"/>
    </row>
    <row r="51" spans="1:6" ht="15.75" customHeight="1" x14ac:dyDescent="0.3">
      <c r="A51" s="9"/>
      <c r="B51" s="56" t="s">
        <v>82</v>
      </c>
      <c r="C51" s="57"/>
      <c r="D51" s="445">
        <v>5</v>
      </c>
      <c r="E51" s="446"/>
      <c r="F51" s="58"/>
    </row>
    <row r="52" spans="1:6" ht="15.75" customHeight="1" x14ac:dyDescent="0.3">
      <c r="A52" s="9"/>
      <c r="B52" s="59" t="s">
        <v>83</v>
      </c>
      <c r="C52" s="60" t="s">
        <v>84</v>
      </c>
      <c r="D52" s="447" t="s">
        <v>85</v>
      </c>
      <c r="E52" s="448"/>
      <c r="F52" s="61" t="s">
        <v>86</v>
      </c>
    </row>
    <row r="53" spans="1:6" ht="15.75" customHeight="1" x14ac:dyDescent="0.3">
      <c r="A53" s="9"/>
      <c r="B53" s="62">
        <f>C6</f>
        <v>44651</v>
      </c>
      <c r="C53" s="63"/>
      <c r="D53" s="64">
        <f>1</f>
        <v>1</v>
      </c>
      <c r="E53" s="65">
        <f t="shared" ref="E53:E63" si="20">C53*D53</f>
        <v>0</v>
      </c>
      <c r="F53" s="66">
        <v>0</v>
      </c>
    </row>
    <row r="54" spans="1:6" ht="15.75" customHeight="1" x14ac:dyDescent="0.3">
      <c r="A54" s="9"/>
      <c r="B54" s="67">
        <f>IF(D7="","",-1)</f>
        <v>-1</v>
      </c>
      <c r="C54" s="63"/>
      <c r="D54" s="64">
        <f t="shared" ref="D54:D63" si="21">IF(B54&lt;0,(D$51+B54)/D$51,0)</f>
        <v>0.8</v>
      </c>
      <c r="E54" s="65">
        <f t="shared" si="20"/>
        <v>0</v>
      </c>
      <c r="F54" s="66">
        <f t="shared" ref="F54:F63" si="22">IF(B54&lt;0,C54/$D$51,0)</f>
        <v>0</v>
      </c>
    </row>
    <row r="55" spans="1:6" ht="15.75" customHeight="1" x14ac:dyDescent="0.3">
      <c r="A55" s="9"/>
      <c r="B55" s="67">
        <f t="shared" ref="B55:B63" si="23">IF((0-B54)&lt;$D$51,IF(B54&gt;-1, ,B54-1), )</f>
        <v>-2</v>
      </c>
      <c r="C55" s="63"/>
      <c r="D55" s="64">
        <f t="shared" si="21"/>
        <v>0.6</v>
      </c>
      <c r="E55" s="65">
        <f t="shared" si="20"/>
        <v>0</v>
      </c>
      <c r="F55" s="66">
        <f t="shared" si="22"/>
        <v>0</v>
      </c>
    </row>
    <row r="56" spans="1:6" ht="15.75" customHeight="1" x14ac:dyDescent="0.3">
      <c r="A56" s="9"/>
      <c r="B56" s="67">
        <f t="shared" si="23"/>
        <v>-3</v>
      </c>
      <c r="C56" s="63"/>
      <c r="D56" s="64">
        <f t="shared" si="21"/>
        <v>0.4</v>
      </c>
      <c r="E56" s="65">
        <f t="shared" si="20"/>
        <v>0</v>
      </c>
      <c r="F56" s="66">
        <f t="shared" si="22"/>
        <v>0</v>
      </c>
    </row>
    <row r="57" spans="1:6" ht="15.75" customHeight="1" x14ac:dyDescent="0.3">
      <c r="A57" s="9"/>
      <c r="B57" s="67">
        <f t="shared" si="23"/>
        <v>-4</v>
      </c>
      <c r="C57" s="63"/>
      <c r="D57" s="64">
        <f t="shared" si="21"/>
        <v>0.2</v>
      </c>
      <c r="E57" s="65">
        <f t="shared" si="20"/>
        <v>0</v>
      </c>
      <c r="F57" s="66">
        <f t="shared" si="22"/>
        <v>0</v>
      </c>
    </row>
    <row r="58" spans="1:6" ht="15.75" customHeight="1" x14ac:dyDescent="0.3">
      <c r="A58" s="9"/>
      <c r="B58" s="67">
        <f t="shared" si="23"/>
        <v>-5</v>
      </c>
      <c r="C58" s="63"/>
      <c r="D58" s="64">
        <f t="shared" si="21"/>
        <v>0</v>
      </c>
      <c r="E58" s="65">
        <f t="shared" si="20"/>
        <v>0</v>
      </c>
      <c r="F58" s="66">
        <f t="shared" si="22"/>
        <v>0</v>
      </c>
    </row>
    <row r="59" spans="1:6" ht="15.75" customHeight="1" x14ac:dyDescent="0.3">
      <c r="A59" s="9"/>
      <c r="B59" s="67">
        <f t="shared" si="23"/>
        <v>0</v>
      </c>
      <c r="C59" s="63"/>
      <c r="D59" s="64">
        <f t="shared" si="21"/>
        <v>0</v>
      </c>
      <c r="E59" s="65">
        <f t="shared" si="20"/>
        <v>0</v>
      </c>
      <c r="F59" s="66">
        <f t="shared" si="22"/>
        <v>0</v>
      </c>
    </row>
    <row r="60" spans="1:6" ht="15.75" customHeight="1" x14ac:dyDescent="0.3">
      <c r="A60" s="9"/>
      <c r="B60" s="67">
        <f t="shared" si="23"/>
        <v>0</v>
      </c>
      <c r="C60" s="63"/>
      <c r="D60" s="64">
        <f t="shared" si="21"/>
        <v>0</v>
      </c>
      <c r="E60" s="65">
        <f t="shared" si="20"/>
        <v>0</v>
      </c>
      <c r="F60" s="66">
        <f t="shared" si="22"/>
        <v>0</v>
      </c>
    </row>
    <row r="61" spans="1:6" ht="15.75" customHeight="1" x14ac:dyDescent="0.3">
      <c r="A61" s="9"/>
      <c r="B61" s="67">
        <f t="shared" si="23"/>
        <v>0</v>
      </c>
      <c r="C61" s="63"/>
      <c r="D61" s="64">
        <f t="shared" si="21"/>
        <v>0</v>
      </c>
      <c r="E61" s="65">
        <f t="shared" si="20"/>
        <v>0</v>
      </c>
      <c r="F61" s="66">
        <f t="shared" si="22"/>
        <v>0</v>
      </c>
    </row>
    <row r="62" spans="1:6" ht="15.75" customHeight="1" x14ac:dyDescent="0.3">
      <c r="A62" s="9"/>
      <c r="B62" s="67">
        <f t="shared" si="23"/>
        <v>0</v>
      </c>
      <c r="C62" s="63"/>
      <c r="D62" s="64">
        <f t="shared" si="21"/>
        <v>0</v>
      </c>
      <c r="E62" s="65">
        <f t="shared" si="20"/>
        <v>0</v>
      </c>
      <c r="F62" s="66">
        <f t="shared" si="22"/>
        <v>0</v>
      </c>
    </row>
    <row r="63" spans="1:6" ht="15.75" customHeight="1" x14ac:dyDescent="0.3">
      <c r="A63" s="9"/>
      <c r="B63" s="67">
        <f t="shared" si="23"/>
        <v>0</v>
      </c>
      <c r="C63" s="63"/>
      <c r="D63" s="64">
        <f t="shared" si="21"/>
        <v>0</v>
      </c>
      <c r="E63" s="65">
        <f t="shared" si="20"/>
        <v>0</v>
      </c>
      <c r="F63" s="66">
        <f t="shared" si="22"/>
        <v>0</v>
      </c>
    </row>
    <row r="64" spans="1:6" ht="15.75" customHeight="1" x14ac:dyDescent="0.3">
      <c r="A64" s="9"/>
      <c r="B64" s="68" t="s">
        <v>87</v>
      </c>
      <c r="C64" s="55"/>
      <c r="D64" s="55"/>
      <c r="E64" s="65">
        <f>SUM(E53:E63)</f>
        <v>0</v>
      </c>
      <c r="F64" s="69"/>
    </row>
    <row r="65" spans="1:6" ht="15.75" customHeight="1" x14ac:dyDescent="0.3">
      <c r="A65" s="9"/>
      <c r="B65" s="68" t="s">
        <v>88</v>
      </c>
      <c r="C65" s="55"/>
      <c r="D65" s="55"/>
      <c r="E65" s="55"/>
      <c r="F65" s="66">
        <f>SUM(F54:F63)</f>
        <v>0</v>
      </c>
    </row>
    <row r="66" spans="1:6" ht="15.75" customHeight="1" x14ac:dyDescent="0.3">
      <c r="A66" s="9"/>
      <c r="B66" s="68"/>
      <c r="C66" s="55"/>
      <c r="D66" s="55"/>
      <c r="E66" s="55"/>
      <c r="F66" s="69"/>
    </row>
    <row r="67" spans="1:6" ht="15.75" customHeight="1" x14ac:dyDescent="0.3">
      <c r="A67" s="9"/>
      <c r="B67" s="70"/>
      <c r="C67" s="71" t="s">
        <v>89</v>
      </c>
      <c r="D67" s="71" t="s">
        <v>90</v>
      </c>
      <c r="E67" s="72" t="s">
        <v>91</v>
      </c>
      <c r="F67" s="73" t="s">
        <v>92</v>
      </c>
    </row>
    <row r="68" spans="1:6" ht="15.75" customHeight="1" x14ac:dyDescent="0.3">
      <c r="A68" s="9"/>
      <c r="B68" s="68" t="s">
        <v>93</v>
      </c>
      <c r="C68" s="74">
        <f>C14</f>
        <v>288600</v>
      </c>
      <c r="D68" s="74">
        <f>C68+C53-F65</f>
        <v>288600</v>
      </c>
      <c r="E68" s="55" t="s">
        <v>94</v>
      </c>
      <c r="F68" s="69" t="s">
        <v>95</v>
      </c>
    </row>
    <row r="69" spans="1:6" ht="15.75" customHeight="1" x14ac:dyDescent="0.3">
      <c r="A69" s="9"/>
      <c r="B69" s="68" t="s">
        <v>96</v>
      </c>
      <c r="C69" s="75">
        <f t="shared" ref="C69:D69" si="24">C68/$C$7</f>
        <v>0.12174646699008648</v>
      </c>
      <c r="D69" s="75">
        <f t="shared" si="24"/>
        <v>0.12174646699008648</v>
      </c>
      <c r="E69" s="55" t="s">
        <v>97</v>
      </c>
      <c r="F69" s="69" t="s">
        <v>98</v>
      </c>
    </row>
    <row r="70" spans="1:6" ht="15.75" customHeight="1" x14ac:dyDescent="0.3">
      <c r="A70" s="9"/>
      <c r="B70" s="68" t="s">
        <v>99</v>
      </c>
      <c r="C70" s="74">
        <f>C34</f>
        <v>-17470</v>
      </c>
      <c r="D70" s="74">
        <f>C70+E64-F65</f>
        <v>-17470</v>
      </c>
      <c r="E70" s="55" t="s">
        <v>100</v>
      </c>
      <c r="F70" s="69" t="s">
        <v>101</v>
      </c>
    </row>
    <row r="71" spans="1:6" ht="15.75" customHeight="1" x14ac:dyDescent="0.3">
      <c r="A71" s="9"/>
      <c r="B71" s="68" t="s">
        <v>102</v>
      </c>
      <c r="C71" s="74">
        <f>C16</f>
        <v>216450</v>
      </c>
      <c r="D71" s="74">
        <f>C71+C54</f>
        <v>216450</v>
      </c>
      <c r="E71" s="55" t="s">
        <v>103</v>
      </c>
      <c r="F71" s="69" t="s">
        <v>104</v>
      </c>
    </row>
    <row r="72" spans="1:6" ht="15.75" customHeight="1" x14ac:dyDescent="0.3">
      <c r="A72" s="9"/>
      <c r="B72" s="68" t="s">
        <v>105</v>
      </c>
      <c r="C72" s="74">
        <f>F3</f>
        <v>172700</v>
      </c>
      <c r="D72" s="74">
        <f>C72+C53-F65</f>
        <v>172700</v>
      </c>
      <c r="E72" s="55" t="s">
        <v>106</v>
      </c>
      <c r="F72" s="69" t="s">
        <v>104</v>
      </c>
    </row>
    <row r="73" spans="1:6" ht="15.75" customHeight="1" x14ac:dyDescent="0.3">
      <c r="A73" s="9"/>
      <c r="B73" s="76" t="s">
        <v>107</v>
      </c>
      <c r="C73" s="77" t="e">
        <f>#REF!</f>
        <v>#REF!</v>
      </c>
      <c r="D73" s="77" t="e">
        <f>C73+E64</f>
        <v>#REF!</v>
      </c>
      <c r="E73" s="8" t="s">
        <v>108</v>
      </c>
      <c r="F73" s="78" t="s">
        <v>104</v>
      </c>
    </row>
    <row r="74" spans="1:6" ht="15.75" customHeight="1" x14ac:dyDescent="0.3">
      <c r="A74" s="9"/>
      <c r="B74" s="55"/>
      <c r="C74" s="79"/>
      <c r="D74" s="79"/>
    </row>
    <row r="75" spans="1:6" ht="15.75" customHeight="1" x14ac:dyDescent="0.3">
      <c r="A75" s="9"/>
      <c r="B75" s="55"/>
      <c r="C75" s="79"/>
      <c r="D75" s="79"/>
    </row>
    <row r="76" spans="1:6" ht="15.75" customHeight="1" x14ac:dyDescent="0.3">
      <c r="A76" s="9"/>
      <c r="B76" s="55"/>
      <c r="C76" s="79"/>
      <c r="D76" s="79"/>
    </row>
    <row r="77" spans="1:6" ht="15.75" customHeight="1" x14ac:dyDescent="0.3">
      <c r="A77" s="9"/>
      <c r="B77" s="55"/>
      <c r="C77" s="80"/>
      <c r="D77" s="80"/>
    </row>
    <row r="78" spans="1:6" ht="15.75" customHeight="1" x14ac:dyDescent="0.3">
      <c r="A78" s="9"/>
      <c r="B78" s="55"/>
      <c r="C78" s="79"/>
      <c r="D78" s="79"/>
    </row>
    <row r="79" spans="1:6" ht="15.75" customHeight="1" x14ac:dyDescent="0.3">
      <c r="A79" s="9"/>
      <c r="B79" s="55"/>
      <c r="C79" s="80"/>
      <c r="D79" s="80"/>
    </row>
    <row r="80" spans="1:6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/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</sheetData>
  <mergeCells count="3">
    <mergeCell ref="D49:E49"/>
    <mergeCell ref="D51:E51"/>
    <mergeCell ref="D52:E52"/>
  </mergeCells>
  <conditionalFormatting sqref="B51:F73">
    <cfRule type="expression" dxfId="8" priority="1">
      <formula>$D$49="No"</formula>
    </cfRule>
  </conditionalFormatting>
  <conditionalFormatting sqref="D42:M46 C7:M35">
    <cfRule type="containsBlanks" dxfId="7" priority="2">
      <formula>LEN(TRIM(C7))=0</formula>
    </cfRule>
  </conditionalFormatting>
  <conditionalFormatting sqref="D17:M18">
    <cfRule type="containsBlanks" dxfId="6" priority="3">
      <formula>LEN(TRIM(D17))=0</formula>
    </cfRule>
  </conditionalFormatting>
  <conditionalFormatting sqref="C37:M40">
    <cfRule type="containsBlanks" dxfId="5" priority="4">
      <formula>LEN(TRIM(C37))=0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topLeftCell="A10" workbookViewId="0">
      <selection activeCell="D14" sqref="D14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322" t="s">
        <v>109</v>
      </c>
      <c r="C2" s="322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333</v>
      </c>
      <c r="C3" s="6"/>
      <c r="D3" s="329">
        <v>585200</v>
      </c>
      <c r="E3" s="188" t="str">
        <f>IF((C46-I46)=D3,"", "Error!")</f>
        <v/>
      </c>
      <c r="F3" s="6"/>
      <c r="G3" s="6"/>
      <c r="H3" s="330" t="s">
        <v>334</v>
      </c>
      <c r="I3" s="331">
        <v>585200</v>
      </c>
    </row>
    <row r="4" spans="1:10" ht="15" customHeight="1" x14ac:dyDescent="0.3">
      <c r="B4" s="5" t="s">
        <v>293</v>
      </c>
      <c r="C4" s="6"/>
      <c r="D4" s="332">
        <f>D3-I3</f>
        <v>0</v>
      </c>
      <c r="E4" s="182"/>
      <c r="F4" s="6"/>
      <c r="G4" s="6"/>
      <c r="H4" s="83" t="s">
        <v>110</v>
      </c>
      <c r="I4" s="118">
        <f>(I3*Dashboard!I12*Data!C4)/Dashboard!I5</f>
        <v>18.16936113299931</v>
      </c>
    </row>
    <row r="5" spans="1:10" ht="15" customHeight="1" x14ac:dyDescent="0.3">
      <c r="D5" s="6"/>
      <c r="E5" s="24" t="s">
        <v>111</v>
      </c>
      <c r="I5" s="6"/>
    </row>
    <row r="6" spans="1:10" ht="15" customHeight="1" x14ac:dyDescent="0.3">
      <c r="B6" s="81" t="s">
        <v>112</v>
      </c>
      <c r="C6" s="6"/>
      <c r="D6" s="82">
        <f>E46-I46-E50</f>
        <v>-54940</v>
      </c>
      <c r="E6" s="14">
        <f>1-D6/D3</f>
        <v>1.0938824333561175</v>
      </c>
      <c r="F6" s="6"/>
      <c r="G6" s="6"/>
      <c r="H6" s="83" t="s">
        <v>113</v>
      </c>
      <c r="I6" s="28">
        <f>IF(Data!F3&lt;=0,"NNI",D7/((Data!F3*Dashboard!I12)/(Dashboard!I5/Data!C4)))</f>
        <v>0</v>
      </c>
      <c r="J6" s="6"/>
    </row>
    <row r="7" spans="1:10" ht="15" customHeight="1" x14ac:dyDescent="0.3">
      <c r="B7" s="55" t="s">
        <v>114</v>
      </c>
      <c r="D7" s="84">
        <f>MAX((D6*Dashboard!I12*Data!C4)/Dashboard!I5, 0)</f>
        <v>0</v>
      </c>
      <c r="E7" s="85"/>
      <c r="H7" s="83" t="s">
        <v>115</v>
      </c>
      <c r="I7" s="28">
        <f>D7/(Data!C28*Dashboard!I12*Data!C4/Common_Shares)</f>
        <v>0</v>
      </c>
      <c r="J7" s="6"/>
    </row>
    <row r="8" spans="1:10" ht="15" customHeight="1" x14ac:dyDescent="0.3">
      <c r="D8" s="6"/>
      <c r="I8" s="6"/>
    </row>
    <row r="9" spans="1:10" ht="15" customHeight="1" x14ac:dyDescent="0.3">
      <c r="A9" s="4"/>
      <c r="B9" s="323" t="s">
        <v>329</v>
      </c>
      <c r="C9" s="305"/>
      <c r="D9" s="327">
        <v>44834</v>
      </c>
      <c r="E9" s="324" t="str">
        <f>IF(D9=Data!C3,"FY","Quarter")</f>
        <v>Quarter</v>
      </c>
      <c r="F9" s="162"/>
      <c r="G9" s="162"/>
      <c r="H9" s="162"/>
      <c r="I9" s="162"/>
    </row>
    <row r="10" spans="1:10" ht="15" customHeight="1" x14ac:dyDescent="0.3">
      <c r="B10" s="5" t="s">
        <v>116</v>
      </c>
      <c r="C10" s="24" t="s">
        <v>117</v>
      </c>
      <c r="D10" s="24" t="s">
        <v>118</v>
      </c>
      <c r="E10" s="24" t="s">
        <v>119</v>
      </c>
      <c r="F10" s="32" t="s">
        <v>310</v>
      </c>
      <c r="G10" s="6"/>
      <c r="H10" s="86" t="s">
        <v>120</v>
      </c>
      <c r="I10" s="24" t="s">
        <v>117</v>
      </c>
    </row>
    <row r="11" spans="1:10" ht="15" customHeight="1" x14ac:dyDescent="0.3">
      <c r="B11" s="5" t="s">
        <v>121</v>
      </c>
      <c r="C11" s="87">
        <v>103300</v>
      </c>
      <c r="D11" s="88">
        <v>1</v>
      </c>
      <c r="E11" s="29">
        <f t="shared" ref="E11:E21" si="0">C11*D11</f>
        <v>103300</v>
      </c>
      <c r="F11" s="6"/>
      <c r="G11" s="6"/>
      <c r="H11" s="5" t="s">
        <v>122</v>
      </c>
      <c r="I11" s="87">
        <v>93200</v>
      </c>
      <c r="J11" s="6"/>
    </row>
    <row r="12" spans="1:10" ht="14" x14ac:dyDescent="0.3">
      <c r="B12" s="3" t="s">
        <v>123</v>
      </c>
      <c r="C12" s="87">
        <v>0</v>
      </c>
      <c r="D12" s="88">
        <v>0.98</v>
      </c>
      <c r="E12" s="29">
        <f t="shared" si="0"/>
        <v>0</v>
      </c>
      <c r="F12" s="6"/>
      <c r="G12" s="6"/>
      <c r="H12" s="5" t="s">
        <v>124</v>
      </c>
      <c r="I12" s="87">
        <v>15200</v>
      </c>
      <c r="J12" s="6"/>
    </row>
    <row r="13" spans="1:10" ht="14" x14ac:dyDescent="0.3">
      <c r="B13" s="5" t="s">
        <v>125</v>
      </c>
      <c r="C13" s="87">
        <v>0</v>
      </c>
      <c r="D13" s="88">
        <v>1</v>
      </c>
      <c r="E13" s="29">
        <f t="shared" si="0"/>
        <v>0</v>
      </c>
      <c r="F13" s="6"/>
      <c r="G13" s="6"/>
      <c r="H13" s="5" t="s">
        <v>126</v>
      </c>
      <c r="I13" s="87">
        <v>0</v>
      </c>
      <c r="J13" s="6"/>
    </row>
    <row r="14" spans="1:10" ht="14" x14ac:dyDescent="0.3">
      <c r="B14" s="5" t="s">
        <v>127</v>
      </c>
      <c r="C14" s="87">
        <v>0</v>
      </c>
      <c r="D14" s="88">
        <v>0.6</v>
      </c>
      <c r="E14" s="29">
        <f t="shared" si="0"/>
        <v>0</v>
      </c>
      <c r="F14" s="6"/>
      <c r="G14" s="6"/>
      <c r="H14" s="3" t="s">
        <v>128</v>
      </c>
      <c r="I14" s="87">
        <v>0</v>
      </c>
      <c r="J14" s="6"/>
    </row>
    <row r="15" spans="1:10" ht="14" x14ac:dyDescent="0.3">
      <c r="B15" s="5" t="s">
        <v>129</v>
      </c>
      <c r="C15" s="87">
        <v>0</v>
      </c>
      <c r="D15" s="88">
        <v>0.8</v>
      </c>
      <c r="E15" s="29">
        <f t="shared" si="0"/>
        <v>0</v>
      </c>
      <c r="G15" s="6"/>
      <c r="H15" s="5" t="s">
        <v>130</v>
      </c>
      <c r="I15" s="187">
        <f>I26-SUM(I11:I14)</f>
        <v>686200</v>
      </c>
      <c r="J15" s="6"/>
    </row>
    <row r="16" spans="1:10" ht="14" x14ac:dyDescent="0.3">
      <c r="B16" s="3" t="s">
        <v>128</v>
      </c>
      <c r="C16" s="87">
        <v>0</v>
      </c>
      <c r="D16" s="88">
        <v>0.5</v>
      </c>
      <c r="E16" s="29">
        <f t="shared" si="0"/>
        <v>0</v>
      </c>
      <c r="F16" s="245" t="s">
        <v>311</v>
      </c>
      <c r="G16" s="121">
        <f>IF(F16="Y",0,1)</f>
        <v>0</v>
      </c>
      <c r="H16" s="5"/>
      <c r="I16" s="186"/>
      <c r="J16" s="6"/>
    </row>
    <row r="17" spans="2:10" ht="14" x14ac:dyDescent="0.3">
      <c r="B17" s="5" t="s">
        <v>131</v>
      </c>
      <c r="C17" s="87">
        <v>549000</v>
      </c>
      <c r="D17" s="88">
        <v>0.6</v>
      </c>
      <c r="E17" s="29">
        <f t="shared" si="0"/>
        <v>329400</v>
      </c>
      <c r="F17" s="6"/>
      <c r="G17" s="6"/>
      <c r="H17" s="5"/>
      <c r="I17" s="186"/>
      <c r="J17" s="6"/>
    </row>
    <row r="18" spans="2:10" ht="14" x14ac:dyDescent="0.3">
      <c r="B18" s="5" t="s">
        <v>132</v>
      </c>
      <c r="C18" s="87">
        <v>570000</v>
      </c>
      <c r="D18" s="88">
        <v>0.6</v>
      </c>
      <c r="E18" s="29">
        <f t="shared" si="0"/>
        <v>342000</v>
      </c>
      <c r="G18" s="6"/>
    </row>
    <row r="19" spans="2:10" ht="14" x14ac:dyDescent="0.3">
      <c r="B19" s="3" t="s">
        <v>133</v>
      </c>
      <c r="C19" s="87">
        <v>0</v>
      </c>
      <c r="D19" s="88">
        <v>0.75</v>
      </c>
      <c r="E19" s="29">
        <f t="shared" si="0"/>
        <v>0</v>
      </c>
      <c r="F19" s="245" t="s">
        <v>311</v>
      </c>
      <c r="G19" s="121">
        <f>IF(F19="Y",0,1)</f>
        <v>0</v>
      </c>
      <c r="H19" s="5"/>
      <c r="I19" s="186"/>
    </row>
    <row r="20" spans="2:10" ht="14" x14ac:dyDescent="0.3">
      <c r="B20" s="5" t="s">
        <v>134</v>
      </c>
      <c r="C20" s="87">
        <v>0</v>
      </c>
      <c r="D20" s="88">
        <v>0.6</v>
      </c>
      <c r="E20" s="29">
        <f t="shared" si="0"/>
        <v>0</v>
      </c>
      <c r="F20" s="245" t="s">
        <v>311</v>
      </c>
      <c r="G20" s="121">
        <f>IF(F20="Y",0,1)</f>
        <v>0</v>
      </c>
      <c r="H20" s="5"/>
      <c r="I20" s="186"/>
    </row>
    <row r="21" spans="2:10" ht="14" x14ac:dyDescent="0.3">
      <c r="B21" s="5" t="s">
        <v>135</v>
      </c>
      <c r="C21" s="87">
        <v>5800</v>
      </c>
      <c r="D21" s="88">
        <v>0.95</v>
      </c>
      <c r="E21" s="29">
        <f t="shared" si="0"/>
        <v>5510</v>
      </c>
      <c r="F21" s="6"/>
      <c r="G21" s="6"/>
      <c r="H21" s="5"/>
      <c r="I21" s="186"/>
    </row>
    <row r="22" spans="2:10" ht="15" customHeight="1" x14ac:dyDescent="0.3">
      <c r="B22" s="5" t="s">
        <v>136</v>
      </c>
      <c r="C22" s="87">
        <v>0</v>
      </c>
      <c r="D22" s="88">
        <v>0</v>
      </c>
      <c r="E22" s="29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89" t="s">
        <v>137</v>
      </c>
      <c r="C24" s="93">
        <f>SUM(C11:C14)</f>
        <v>103300</v>
      </c>
      <c r="D24" s="91">
        <f>IF(E24=0,0,E24/C24)</f>
        <v>1</v>
      </c>
      <c r="E24" s="29">
        <f>SUM(E11:E14)</f>
        <v>103300</v>
      </c>
      <c r="F24" s="6"/>
      <c r="G24" s="6"/>
      <c r="H24" s="89" t="s">
        <v>138</v>
      </c>
      <c r="I24" s="92">
        <f>E24/($I$26-I13)</f>
        <v>0.13000251698968035</v>
      </c>
      <c r="J24" s="13" t="str">
        <f>IF(I24&lt;1,"Liquidity Problem!","")</f>
        <v>Liquidity Problem!</v>
      </c>
    </row>
    <row r="25" spans="2:10" ht="15" customHeight="1" x14ac:dyDescent="0.3">
      <c r="B25" s="89" t="s">
        <v>139</v>
      </c>
      <c r="C25" s="93">
        <f>C24+SUM(C15:C17)</f>
        <v>652300</v>
      </c>
      <c r="D25" s="91">
        <f>IF(E25=0,0,E25/C25)</f>
        <v>0.66334508661658742</v>
      </c>
      <c r="E25" s="29">
        <f>E24+SUM(E15:E17)</f>
        <v>432700</v>
      </c>
      <c r="F25" s="6"/>
      <c r="G25" s="6"/>
      <c r="H25" s="89" t="s">
        <v>140</v>
      </c>
      <c r="I25" s="92">
        <f>E25/$I$26</f>
        <v>0.54455071734205884</v>
      </c>
      <c r="J25" s="13"/>
    </row>
    <row r="26" spans="2:10" ht="15" customHeight="1" x14ac:dyDescent="0.3">
      <c r="B26" s="5" t="s">
        <v>141</v>
      </c>
      <c r="C26" s="93">
        <f>SUM(C11:C22)</f>
        <v>1228100</v>
      </c>
      <c r="D26" s="14">
        <f t="shared" ref="D26" si="2">E26/C26</f>
        <v>0.63529842846673723</v>
      </c>
      <c r="E26" s="29">
        <f>SUM(E11:E22)</f>
        <v>780210</v>
      </c>
      <c r="H26" s="5" t="s">
        <v>60</v>
      </c>
      <c r="I26" s="87">
        <v>794600</v>
      </c>
    </row>
    <row r="27" spans="2:10" ht="15" customHeight="1" x14ac:dyDescent="0.3">
      <c r="C27" s="6"/>
      <c r="D27" s="6"/>
      <c r="E27" s="6"/>
      <c r="F27" s="32" t="s">
        <v>310</v>
      </c>
      <c r="G27" s="6"/>
      <c r="I27" s="6"/>
      <c r="J27" s="6"/>
    </row>
    <row r="28" spans="2:10" ht="15" customHeight="1" x14ac:dyDescent="0.3">
      <c r="B28" s="5" t="s">
        <v>142</v>
      </c>
      <c r="C28" s="87">
        <v>0</v>
      </c>
      <c r="D28" s="88">
        <v>0.95</v>
      </c>
      <c r="E28" s="29">
        <v>0</v>
      </c>
      <c r="F28" s="6"/>
      <c r="G28" s="6"/>
      <c r="H28" s="5" t="s">
        <v>143</v>
      </c>
      <c r="I28" s="87">
        <v>0</v>
      </c>
      <c r="J28" s="6"/>
    </row>
    <row r="29" spans="2:10" ht="15" customHeight="1" x14ac:dyDescent="0.3">
      <c r="B29" s="5" t="s">
        <v>144</v>
      </c>
      <c r="C29" s="87">
        <v>0</v>
      </c>
      <c r="D29" s="88">
        <v>0.6</v>
      </c>
      <c r="E29" s="29">
        <f t="shared" ref="E29:E40" si="3">C29*D29</f>
        <v>0</v>
      </c>
      <c r="F29" s="6"/>
      <c r="G29" s="6"/>
      <c r="H29" s="5" t="s">
        <v>145</v>
      </c>
      <c r="I29" s="87">
        <v>164100</v>
      </c>
      <c r="J29" s="6"/>
    </row>
    <row r="30" spans="2:10" ht="15" customHeight="1" x14ac:dyDescent="0.3">
      <c r="B30" s="5" t="s">
        <v>146</v>
      </c>
      <c r="C30" s="87">
        <v>1400</v>
      </c>
      <c r="D30" s="88">
        <v>0.2</v>
      </c>
      <c r="E30" s="29">
        <f t="shared" si="3"/>
        <v>280</v>
      </c>
      <c r="F30" s="6"/>
      <c r="G30" s="6"/>
      <c r="H30" s="5" t="s">
        <v>148</v>
      </c>
      <c r="I30" s="87">
        <v>0</v>
      </c>
      <c r="J30" s="6"/>
    </row>
    <row r="31" spans="2:10" ht="14" x14ac:dyDescent="0.3">
      <c r="B31" s="3" t="s">
        <v>147</v>
      </c>
      <c r="C31" s="87">
        <v>0</v>
      </c>
      <c r="D31" s="88">
        <v>0.3</v>
      </c>
      <c r="E31" s="29">
        <f t="shared" si="3"/>
        <v>0</v>
      </c>
      <c r="F31" s="6"/>
      <c r="G31" s="6"/>
      <c r="H31" s="3" t="s">
        <v>147</v>
      </c>
      <c r="I31" s="87">
        <v>0</v>
      </c>
      <c r="J31" s="6"/>
    </row>
    <row r="32" spans="2:10" ht="14" x14ac:dyDescent="0.3">
      <c r="B32" s="5" t="s">
        <v>149</v>
      </c>
      <c r="C32" s="87">
        <v>0</v>
      </c>
      <c r="D32" s="88">
        <v>0.4</v>
      </c>
      <c r="E32" s="29">
        <f t="shared" si="3"/>
        <v>0</v>
      </c>
      <c r="G32" s="6"/>
      <c r="H32" s="5" t="s">
        <v>150</v>
      </c>
      <c r="I32" s="187">
        <f>I42-SUM(I28:I31)</f>
        <v>3400</v>
      </c>
      <c r="J32" s="6"/>
    </row>
    <row r="33" spans="2:10" ht="14" x14ac:dyDescent="0.3">
      <c r="B33" s="5" t="s">
        <v>151</v>
      </c>
      <c r="C33" s="87">
        <v>3800</v>
      </c>
      <c r="D33" s="88">
        <v>0.8</v>
      </c>
      <c r="E33" s="261">
        <f t="shared" si="3"/>
        <v>3040</v>
      </c>
      <c r="F33" s="245" t="s">
        <v>312</v>
      </c>
      <c r="G33" s="121">
        <f>IF(F33="Y",0,1)</f>
        <v>1</v>
      </c>
      <c r="J33" s="6"/>
    </row>
    <row r="34" spans="2:10" ht="14" x14ac:dyDescent="0.3">
      <c r="B34" s="5" t="s">
        <v>152</v>
      </c>
      <c r="C34" s="87">
        <v>0</v>
      </c>
      <c r="D34" s="88">
        <v>0.7</v>
      </c>
      <c r="E34" s="261">
        <f t="shared" si="3"/>
        <v>0</v>
      </c>
      <c r="F34" s="245" t="s">
        <v>311</v>
      </c>
      <c r="G34" s="121">
        <f>IF(F34="Y",0,1)</f>
        <v>0</v>
      </c>
    </row>
    <row r="35" spans="2:10" ht="14" x14ac:dyDescent="0.3">
      <c r="B35" s="3" t="s">
        <v>134</v>
      </c>
      <c r="C35" s="87">
        <v>0</v>
      </c>
      <c r="D35" s="88">
        <v>0.4</v>
      </c>
      <c r="E35" s="29">
        <f t="shared" si="3"/>
        <v>0</v>
      </c>
      <c r="F35" s="245" t="s">
        <v>311</v>
      </c>
      <c r="G35" s="121">
        <f>IF(F35="Y",0,1)</f>
        <v>0</v>
      </c>
    </row>
    <row r="36" spans="2:10" ht="15" customHeight="1" x14ac:dyDescent="0.3">
      <c r="B36" s="5" t="s">
        <v>153</v>
      </c>
      <c r="C36" s="87">
        <v>77700</v>
      </c>
      <c r="D36" s="88">
        <v>0.3</v>
      </c>
      <c r="E36" s="29">
        <f t="shared" si="3"/>
        <v>23310</v>
      </c>
      <c r="F36" s="6"/>
      <c r="G36" s="6"/>
    </row>
    <row r="37" spans="2:10" ht="14" x14ac:dyDescent="0.3">
      <c r="B37" s="5" t="s">
        <v>154</v>
      </c>
      <c r="C37" s="87">
        <v>164100</v>
      </c>
      <c r="D37" s="88">
        <v>0.5</v>
      </c>
      <c r="E37" s="29">
        <f t="shared" si="3"/>
        <v>82050</v>
      </c>
      <c r="F37" s="6"/>
      <c r="G37" s="6"/>
    </row>
    <row r="38" spans="2:10" ht="15" customHeight="1" x14ac:dyDescent="0.3">
      <c r="B38" s="5" t="s">
        <v>155</v>
      </c>
      <c r="C38" s="87">
        <v>15700</v>
      </c>
      <c r="D38" s="88">
        <v>0.1</v>
      </c>
      <c r="E38" s="29">
        <f t="shared" si="3"/>
        <v>1570</v>
      </c>
      <c r="F38" s="6"/>
      <c r="G38" s="6"/>
    </row>
    <row r="39" spans="2:10" ht="15" customHeight="1" x14ac:dyDescent="0.3">
      <c r="B39" s="5" t="s">
        <v>156</v>
      </c>
      <c r="C39" s="87">
        <v>13000</v>
      </c>
      <c r="D39" s="88">
        <v>0.95</v>
      </c>
      <c r="E39" s="29">
        <f t="shared" si="3"/>
        <v>12350</v>
      </c>
      <c r="F39" s="6"/>
      <c r="G39" s="6"/>
    </row>
    <row r="40" spans="2:10" ht="15" customHeight="1" x14ac:dyDescent="0.3">
      <c r="B40" s="5" t="s">
        <v>157</v>
      </c>
      <c r="C40" s="87">
        <f>36100+7400</f>
        <v>43500</v>
      </c>
      <c r="D40" s="88">
        <v>0.1</v>
      </c>
      <c r="E40" s="29">
        <f t="shared" si="3"/>
        <v>4350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158</v>
      </c>
      <c r="C42" s="90">
        <f>SUM(C28:C40)</f>
        <v>319200</v>
      </c>
      <c r="D42" s="14">
        <f>E42/C42</f>
        <v>0.39771303258145363</v>
      </c>
      <c r="E42" s="29">
        <f>SUM(E28:E40)</f>
        <v>126950</v>
      </c>
      <c r="F42" s="6"/>
      <c r="G42" s="6"/>
      <c r="H42" s="5" t="s">
        <v>159</v>
      </c>
      <c r="I42" s="87">
        <v>167500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89" t="s">
        <v>160</v>
      </c>
      <c r="C44" s="93">
        <f>C24+SUM(C28:C29)</f>
        <v>103300</v>
      </c>
      <c r="D44" s="91">
        <f>IF(E44=0,0,E44/C44)</f>
        <v>1</v>
      </c>
      <c r="E44" s="29">
        <f>E24+SUM(E28:E29)</f>
        <v>103300</v>
      </c>
      <c r="F44" s="6"/>
      <c r="G44" s="6"/>
      <c r="H44" s="89" t="s">
        <v>161</v>
      </c>
      <c r="I44" s="92">
        <f>E44/$I$46</f>
        <v>0.10736929633094273</v>
      </c>
      <c r="J44" s="13" t="str">
        <f>IF(I44&lt;1,"Liquidity Problem!","")</f>
        <v>Liquidity Problem!</v>
      </c>
    </row>
    <row r="45" spans="2:10" ht="15" customHeight="1" x14ac:dyDescent="0.3">
      <c r="B45" s="89" t="s">
        <v>162</v>
      </c>
      <c r="C45" s="93">
        <f>C44+(C25-C24)+SUM(C30:C33)</f>
        <v>657500</v>
      </c>
      <c r="D45" s="91">
        <f>IF(E45=0,0,E45/C45)</f>
        <v>0.66314828897338407</v>
      </c>
      <c r="E45" s="29">
        <f>E44+(E25-E24)+SUM(E30:E33)</f>
        <v>436020</v>
      </c>
      <c r="F45" s="6"/>
      <c r="G45" s="6"/>
      <c r="H45" s="89" t="s">
        <v>163</v>
      </c>
      <c r="I45" s="92">
        <f>E45/$I$46</f>
        <v>0.45319613345806048</v>
      </c>
      <c r="J45" s="6"/>
    </row>
    <row r="46" spans="2:10" ht="15" customHeight="1" x14ac:dyDescent="0.3">
      <c r="B46" s="5" t="s">
        <v>164</v>
      </c>
      <c r="C46" s="93">
        <f>C26+C42</f>
        <v>1547300</v>
      </c>
      <c r="D46" s="14">
        <f>E46/C46</f>
        <v>0.58628578814709498</v>
      </c>
      <c r="E46" s="29">
        <f>E26+E42</f>
        <v>907160</v>
      </c>
      <c r="F46" s="6"/>
      <c r="G46" s="6"/>
      <c r="H46" s="5" t="s">
        <v>165</v>
      </c>
      <c r="I46" s="187">
        <f>I26+I42</f>
        <v>962100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2" t="s">
        <v>166</v>
      </c>
      <c r="C48" s="22"/>
      <c r="D48" s="54"/>
    </row>
    <row r="49" spans="2:9" ht="14" x14ac:dyDescent="0.3">
      <c r="B49" s="257" t="s">
        <v>273</v>
      </c>
      <c r="C49" s="6"/>
      <c r="D49" s="258" t="str">
        <f>IF(E50=D4,"BV of the MI","P/B Approach")</f>
        <v>BV of the MI</v>
      </c>
      <c r="E49" s="6"/>
    </row>
    <row r="50" spans="2:9" ht="14" x14ac:dyDescent="0.3">
      <c r="B50" s="5" t="s">
        <v>272</v>
      </c>
      <c r="C50" s="259">
        <f>D4</f>
        <v>0</v>
      </c>
      <c r="D50" s="255">
        <f>IF(E50=0, 0,E50/C50)</f>
        <v>0</v>
      </c>
      <c r="E50" s="259">
        <f>MAX(C50,C50*Dashboard!I10)</f>
        <v>0</v>
      </c>
      <c r="I50" s="189"/>
    </row>
    <row r="51" spans="2:9" ht="15" customHeight="1" x14ac:dyDescent="0.3">
      <c r="C51" s="6"/>
      <c r="D51" s="6"/>
      <c r="E51" s="6"/>
    </row>
    <row r="52" spans="2:9" ht="14" x14ac:dyDescent="0.3">
      <c r="B52" s="98" t="s">
        <v>340</v>
      </c>
      <c r="C52" s="5"/>
      <c r="D52" s="379">
        <f>D53+D54+D55</f>
        <v>272500</v>
      </c>
      <c r="E52" s="449"/>
      <c r="F52" s="55"/>
      <c r="G52" s="55"/>
    </row>
    <row r="53" spans="2:9" ht="14" x14ac:dyDescent="0.3">
      <c r="B53" s="81" t="s">
        <v>304</v>
      </c>
      <c r="C53" s="6"/>
      <c r="D53" s="379">
        <f>SUM(I11:I13)+SUM(I28:I30)</f>
        <v>272500</v>
      </c>
      <c r="E53" s="449"/>
      <c r="F53" s="5"/>
      <c r="G53" s="5"/>
    </row>
    <row r="54" spans="2:9" ht="14" x14ac:dyDescent="0.3">
      <c r="B54" s="81" t="s">
        <v>168</v>
      </c>
      <c r="C54" s="6"/>
      <c r="D54" s="457">
        <v>0</v>
      </c>
      <c r="E54" s="391"/>
      <c r="F54" s="6" t="s">
        <v>169</v>
      </c>
      <c r="G54" s="6"/>
    </row>
    <row r="55" spans="2:9" ht="12.75" customHeight="1" x14ac:dyDescent="0.3">
      <c r="B55" s="81" t="s">
        <v>167</v>
      </c>
      <c r="C55" s="6"/>
      <c r="D55" s="457">
        <v>0</v>
      </c>
      <c r="E55" s="391"/>
      <c r="F55" s="5" t="s">
        <v>170</v>
      </c>
      <c r="G55" s="5"/>
    </row>
    <row r="56" spans="2:9" ht="15" customHeight="1" x14ac:dyDescent="0.3">
      <c r="D56" s="6"/>
      <c r="E56" s="6"/>
    </row>
    <row r="57" spans="2:9" ht="14" x14ac:dyDescent="0.3">
      <c r="B57" s="98" t="s">
        <v>171</v>
      </c>
      <c r="C57" s="5"/>
      <c r="D57" s="450"/>
      <c r="E57" s="450"/>
      <c r="F57" s="19"/>
      <c r="G57" s="19"/>
    </row>
    <row r="58" spans="2:9" ht="15" customHeight="1" x14ac:dyDescent="0.3">
      <c r="B58" s="55" t="s">
        <v>305</v>
      </c>
      <c r="C58" s="254">
        <f>C14+C15+(C19*G19)+(C20*G20)+C29+C30+(C33*G33)+(C34*G34)+(C35*G35)</f>
        <v>5200</v>
      </c>
      <c r="D58" s="158">
        <f>IF(E58=0,0,E58/C58)</f>
        <v>0.63846153846153841</v>
      </c>
      <c r="E58" s="262">
        <f>E14+E15+(E19*G19)+(E20*G20)+E29+E30+(E33*G33)+(E34*G34)+(E35*G35)</f>
        <v>3320</v>
      </c>
      <c r="H58" s="6"/>
    </row>
    <row r="59" spans="2:9" ht="14" x14ac:dyDescent="0.3">
      <c r="B59" s="55" t="s">
        <v>121</v>
      </c>
      <c r="C59" s="254">
        <f>C11+C12+C28</f>
        <v>103300</v>
      </c>
      <c r="D59" s="255">
        <f>IF(E59=0,0,E59/C59)</f>
        <v>1</v>
      </c>
      <c r="E59" s="256">
        <f>E11+E12+E28</f>
        <v>103300</v>
      </c>
      <c r="F59" s="6"/>
      <c r="G59" s="6"/>
    </row>
    <row r="60" spans="2:9" ht="14" x14ac:dyDescent="0.3">
      <c r="B60" s="55" t="s">
        <v>172</v>
      </c>
      <c r="C60" s="6"/>
      <c r="D60" s="455">
        <f>((Dashboard!I6*Data!C4)+D52+E50-C58-C59)</f>
        <v>11346063.5</v>
      </c>
      <c r="E60" s="456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365" t="s">
        <v>339</v>
      </c>
    </row>
    <row r="63" spans="2:9" ht="15" customHeight="1" x14ac:dyDescent="0.3">
      <c r="B63" s="3" t="s">
        <v>342</v>
      </c>
      <c r="D63" s="453">
        <f>((C26-C11-C12-C14-C15-C16*G16-C19*G19-C20*G20)-I26)/Data!C7</f>
        <v>0.13929550727694578</v>
      </c>
      <c r="E63" s="454"/>
    </row>
    <row r="64" spans="2:9" ht="15" customHeight="1" x14ac:dyDescent="0.3">
      <c r="B64" s="3" t="s">
        <v>341</v>
      </c>
      <c r="D64" s="451">
        <v>8.5599999999999996E-2</v>
      </c>
      <c r="E64" s="452"/>
      <c r="F64" s="321" t="s">
        <v>326</v>
      </c>
    </row>
    <row r="65" spans="2:5" ht="15" customHeight="1" x14ac:dyDescent="0.3">
      <c r="B65" s="365" t="s">
        <v>343</v>
      </c>
      <c r="D65" s="451">
        <v>0.15</v>
      </c>
      <c r="E65" s="45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13"/>
  <sheetViews>
    <sheetView showGridLines="0" zoomScaleNormal="100" zoomScalePageLayoutView="80" workbookViewId="0">
      <selection activeCell="G10" sqref="G1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119" t="s">
        <v>318</v>
      </c>
      <c r="C2" s="350" t="s">
        <v>337</v>
      </c>
      <c r="D2" s="350"/>
      <c r="E2" s="350">
        <v>1</v>
      </c>
      <c r="F2" s="350"/>
      <c r="G2" s="350">
        <v>2</v>
      </c>
      <c r="H2" s="12"/>
      <c r="I2" s="350">
        <v>3</v>
      </c>
      <c r="J2" s="350"/>
      <c r="K2" s="12"/>
      <c r="L2" s="12"/>
    </row>
    <row r="3" spans="1:13" ht="15.75" customHeight="1" x14ac:dyDescent="0.3">
      <c r="B3" s="31" t="str">
        <f>'FCFF Model'!B3</f>
        <v>(Numbers in 1000USD)</v>
      </c>
      <c r="C3" s="333">
        <f>Data!C3</f>
        <v>44651</v>
      </c>
      <c r="D3" s="30" t="s">
        <v>321</v>
      </c>
      <c r="E3" s="333">
        <f>EOMONTH(EDATE(C3,12),0)</f>
        <v>45016</v>
      </c>
      <c r="F3" s="30" t="s">
        <v>321</v>
      </c>
      <c r="G3" s="333">
        <f>IF(G20="","",EOMONTH(EDATE(E3,12),0))</f>
        <v>45382</v>
      </c>
      <c r="H3" s="30"/>
      <c r="I3" s="333">
        <f>IF(I27="","",EOMONTH(EDATE(G3,12),0))</f>
        <v>45747</v>
      </c>
      <c r="J3" s="373"/>
      <c r="L3" s="95" t="s">
        <v>173</v>
      </c>
    </row>
    <row r="4" spans="1:13" ht="15.75" customHeight="1" x14ac:dyDescent="0.3">
      <c r="B4" s="368" t="s">
        <v>351</v>
      </c>
      <c r="C4" s="369">
        <v>555600</v>
      </c>
      <c r="D4" s="311"/>
      <c r="E4" s="369"/>
      <c r="F4" s="311"/>
      <c r="G4" s="263"/>
      <c r="H4" s="311"/>
      <c r="I4" s="263"/>
      <c r="J4" s="351"/>
      <c r="K4" s="6"/>
      <c r="L4" s="97"/>
      <c r="M4" s="80"/>
    </row>
    <row r="5" spans="1:13" ht="15.75" customHeight="1" x14ac:dyDescent="0.3">
      <c r="B5" s="367" t="s">
        <v>352</v>
      </c>
      <c r="C5" s="369">
        <v>375100</v>
      </c>
      <c r="D5" s="311"/>
      <c r="E5" s="369"/>
      <c r="F5" s="311"/>
      <c r="G5" s="263"/>
      <c r="H5" s="311"/>
      <c r="I5" s="263"/>
      <c r="J5" s="366"/>
      <c r="K5" s="6"/>
      <c r="L5" s="97"/>
      <c r="M5" s="80"/>
    </row>
    <row r="6" spans="1:13" ht="15.75" customHeight="1" x14ac:dyDescent="0.3">
      <c r="B6" s="367" t="s">
        <v>353</v>
      </c>
      <c r="C6" s="369">
        <v>83900</v>
      </c>
      <c r="D6" s="311"/>
      <c r="E6" s="369"/>
      <c r="F6" s="311"/>
      <c r="G6" s="263"/>
      <c r="H6" s="311"/>
      <c r="I6" s="263"/>
      <c r="J6" s="366"/>
      <c r="K6" s="6"/>
      <c r="L6" s="97"/>
      <c r="M6" s="80"/>
    </row>
    <row r="7" spans="1:13" ht="15.75" customHeight="1" x14ac:dyDescent="0.3">
      <c r="B7" s="367" t="s">
        <v>354</v>
      </c>
      <c r="C7" s="369">
        <v>10900</v>
      </c>
      <c r="D7" s="311"/>
      <c r="E7" s="369"/>
      <c r="F7" s="311"/>
      <c r="G7" s="263"/>
      <c r="H7" s="311"/>
      <c r="I7" s="263"/>
      <c r="J7" s="366"/>
      <c r="K7" s="6"/>
      <c r="L7" s="97"/>
      <c r="M7" s="80"/>
    </row>
    <row r="8" spans="1:13" ht="15.75" customHeight="1" x14ac:dyDescent="0.3">
      <c r="B8" s="24" t="s">
        <v>348</v>
      </c>
      <c r="C8" s="264">
        <f>SUM(C4:C7)</f>
        <v>1025500</v>
      </c>
      <c r="D8" s="311">
        <f>C8/C19</f>
        <v>0.4326091541868804</v>
      </c>
      <c r="E8" s="264">
        <f>C8*0.8</f>
        <v>820400</v>
      </c>
      <c r="F8" s="311">
        <f>E8/E19</f>
        <v>0.39607191669551273</v>
      </c>
      <c r="G8" s="264"/>
      <c r="H8" s="311"/>
      <c r="I8" s="263"/>
      <c r="J8" s="366"/>
      <c r="K8" s="6"/>
      <c r="L8" s="97"/>
      <c r="M8" s="80"/>
    </row>
    <row r="9" spans="1:13" ht="15.75" customHeight="1" x14ac:dyDescent="0.3">
      <c r="B9" s="368" t="s">
        <v>351</v>
      </c>
      <c r="C9" s="369">
        <v>274900</v>
      </c>
      <c r="D9" s="311"/>
      <c r="E9" s="369"/>
      <c r="F9" s="311"/>
      <c r="G9" s="263"/>
      <c r="H9" s="311"/>
      <c r="I9" s="263"/>
      <c r="J9" s="366"/>
      <c r="K9" s="6"/>
      <c r="L9" s="97"/>
      <c r="M9" s="80"/>
    </row>
    <row r="10" spans="1:13" ht="15.75" customHeight="1" x14ac:dyDescent="0.3">
      <c r="B10" s="367" t="s">
        <v>352</v>
      </c>
      <c r="C10" s="369">
        <v>93800</v>
      </c>
      <c r="D10" s="311"/>
      <c r="E10" s="369"/>
      <c r="F10" s="311"/>
      <c r="G10" s="263"/>
      <c r="H10" s="311"/>
      <c r="I10" s="263"/>
      <c r="J10" s="366"/>
      <c r="K10" s="6"/>
      <c r="L10" s="97"/>
      <c r="M10" s="80"/>
    </row>
    <row r="11" spans="1:13" ht="15.75" customHeight="1" x14ac:dyDescent="0.3">
      <c r="B11" s="367" t="s">
        <v>353</v>
      </c>
      <c r="C11" s="369">
        <v>27700</v>
      </c>
      <c r="D11" s="311"/>
      <c r="E11" s="369"/>
      <c r="F11" s="311"/>
      <c r="G11" s="263"/>
      <c r="H11" s="311"/>
      <c r="I11" s="263"/>
      <c r="J11" s="366"/>
      <c r="K11" s="6"/>
      <c r="L11" s="97"/>
      <c r="M11" s="80"/>
    </row>
    <row r="12" spans="1:13" ht="15.75" customHeight="1" x14ac:dyDescent="0.3">
      <c r="B12" s="367" t="s">
        <v>354</v>
      </c>
      <c r="C12" s="369">
        <v>10900</v>
      </c>
      <c r="D12" s="311"/>
      <c r="E12" s="369"/>
      <c r="F12" s="311"/>
      <c r="G12" s="263"/>
      <c r="H12" s="311"/>
      <c r="I12" s="263"/>
      <c r="J12" s="352"/>
      <c r="K12" s="6"/>
      <c r="L12" s="97"/>
      <c r="M12" s="80"/>
    </row>
    <row r="13" spans="1:13" ht="15.75" customHeight="1" x14ac:dyDescent="0.3">
      <c r="B13" s="24" t="s">
        <v>349</v>
      </c>
      <c r="C13" s="264">
        <f>SUM(C9:C12)</f>
        <v>407300</v>
      </c>
      <c r="D13" s="311">
        <f>C13/C19</f>
        <v>0.17182029107783167</v>
      </c>
      <c r="E13" s="264">
        <f>C13*0.7</f>
        <v>285110</v>
      </c>
      <c r="F13" s="311">
        <f>E13/E19</f>
        <v>0.13764512941133306</v>
      </c>
      <c r="G13" s="264"/>
      <c r="H13" s="311"/>
      <c r="I13" s="263"/>
      <c r="J13" s="352"/>
      <c r="K13" s="6"/>
      <c r="L13" s="97"/>
      <c r="M13" s="80"/>
    </row>
    <row r="14" spans="1:13" ht="15.75" customHeight="1" x14ac:dyDescent="0.3">
      <c r="B14" s="368" t="s">
        <v>351</v>
      </c>
      <c r="C14" s="369">
        <v>238000</v>
      </c>
      <c r="D14" s="311"/>
      <c r="E14" s="369"/>
      <c r="F14" s="311"/>
      <c r="G14" s="263"/>
      <c r="H14" s="311"/>
      <c r="I14" s="263"/>
      <c r="J14" s="352"/>
      <c r="K14" s="6"/>
      <c r="L14" s="97"/>
      <c r="M14" s="80"/>
    </row>
    <row r="15" spans="1:13" ht="15.75" customHeight="1" x14ac:dyDescent="0.3">
      <c r="B15" s="367" t="s">
        <v>352</v>
      </c>
      <c r="C15" s="369">
        <v>556200</v>
      </c>
      <c r="D15" s="311"/>
      <c r="E15" s="369"/>
      <c r="F15" s="311"/>
      <c r="G15" s="263"/>
      <c r="H15" s="311"/>
      <c r="I15" s="263"/>
      <c r="J15" s="352"/>
      <c r="K15" s="6"/>
      <c r="L15" s="97"/>
      <c r="M15" s="80"/>
    </row>
    <row r="16" spans="1:13" ht="15.75" customHeight="1" x14ac:dyDescent="0.3">
      <c r="B16" s="367" t="s">
        <v>353</v>
      </c>
      <c r="C16" s="369">
        <v>143400</v>
      </c>
      <c r="D16" s="311"/>
      <c r="E16" s="369"/>
      <c r="F16" s="311"/>
      <c r="G16" s="263"/>
      <c r="H16" s="311"/>
      <c r="I16" s="263"/>
      <c r="J16" s="352"/>
      <c r="K16" s="6"/>
      <c r="L16" s="97"/>
      <c r="M16" s="80"/>
    </row>
    <row r="17" spans="2:13" ht="15.75" customHeight="1" x14ac:dyDescent="0.3">
      <c r="B17" s="367" t="s">
        <v>354</v>
      </c>
      <c r="C17" s="369">
        <v>100</v>
      </c>
      <c r="D17" s="311"/>
      <c r="E17" s="369"/>
      <c r="F17" s="311"/>
      <c r="G17" s="263"/>
      <c r="H17" s="311"/>
      <c r="I17" s="263"/>
      <c r="J17" s="352"/>
      <c r="K17" s="6"/>
      <c r="L17" s="97"/>
      <c r="M17" s="80"/>
    </row>
    <row r="18" spans="2:13" ht="15.75" customHeight="1" x14ac:dyDescent="0.3">
      <c r="B18" s="24" t="s">
        <v>350</v>
      </c>
      <c r="C18" s="264">
        <f>SUM(C14:C17)</f>
        <v>937700</v>
      </c>
      <c r="D18" s="311">
        <f>C18/C19</f>
        <v>0.3955705547352879</v>
      </c>
      <c r="E18" s="264">
        <f>C18*1.03</f>
        <v>965831</v>
      </c>
      <c r="F18" s="311">
        <f>E18/E19</f>
        <v>0.46628295389315422</v>
      </c>
      <c r="G18" s="264"/>
      <c r="H18" s="311"/>
      <c r="I18" s="263"/>
      <c r="J18" s="352"/>
      <c r="K18" s="6"/>
      <c r="L18" s="97"/>
      <c r="M18" s="80"/>
    </row>
    <row r="19" spans="2:13" ht="15.75" customHeight="1" x14ac:dyDescent="0.3">
      <c r="B19" s="5" t="s">
        <v>175</v>
      </c>
      <c r="C19" s="212">
        <f>C8+C13+C18</f>
        <v>2370500</v>
      </c>
      <c r="D19" s="310"/>
      <c r="E19" s="212">
        <f>E8+E13+E18</f>
        <v>2071341</v>
      </c>
      <c r="F19" s="310"/>
      <c r="G19" s="212">
        <f>E19*1.05</f>
        <v>2174908.0500000003</v>
      </c>
      <c r="H19" s="310"/>
      <c r="I19" s="270">
        <f>C19*1.05</f>
        <v>2489025</v>
      </c>
      <c r="J19" s="353"/>
      <c r="K19" s="6"/>
      <c r="L19" s="97" t="s">
        <v>357</v>
      </c>
      <c r="M19" s="80"/>
    </row>
    <row r="20" spans="2:13" ht="15.75" customHeight="1" x14ac:dyDescent="0.3">
      <c r="B20" s="17" t="s">
        <v>174</v>
      </c>
      <c r="C20" s="219"/>
      <c r="D20" s="312"/>
      <c r="E20" s="18">
        <f>E19/C19-1</f>
        <v>-0.12620080151866697</v>
      </c>
      <c r="F20" s="312"/>
      <c r="G20" s="96">
        <f>G19/E19-1</f>
        <v>5.0000000000000044E-2</v>
      </c>
      <c r="H20" s="312"/>
      <c r="I20" s="96">
        <f>I19/G19-1</f>
        <v>0.14442769201208283</v>
      </c>
      <c r="J20" s="354"/>
      <c r="K20" s="6"/>
      <c r="L20" s="97"/>
      <c r="M20" s="80"/>
    </row>
    <row r="21" spans="2:13" ht="15.75" customHeight="1" x14ac:dyDescent="0.3">
      <c r="B21" s="8" t="s">
        <v>176</v>
      </c>
      <c r="C21" s="213">
        <f>Data!C9</f>
        <v>1701400</v>
      </c>
      <c r="D21" s="313"/>
      <c r="E21" s="269">
        <f>E19*(1-E22)</f>
        <v>1418868.5850000002</v>
      </c>
      <c r="F21" s="313"/>
      <c r="G21" s="337">
        <f>IF(G19="","",G19*(1-G22))</f>
        <v>1489812.0142500002</v>
      </c>
      <c r="H21" s="313"/>
      <c r="I21" s="337">
        <f>IF(I19="","",I19*(1-I22))</f>
        <v>1749037.8674999999</v>
      </c>
      <c r="J21" s="355"/>
      <c r="K21" s="6"/>
      <c r="L21" s="144"/>
      <c r="M21" s="1"/>
    </row>
    <row r="22" spans="2:13" ht="15.75" customHeight="1" x14ac:dyDescent="0.3">
      <c r="B22" s="17" t="s">
        <v>50</v>
      </c>
      <c r="C22" s="218">
        <f>(C19-C21)/C19</f>
        <v>0.282261126344653</v>
      </c>
      <c r="D22" s="218"/>
      <c r="E22" s="96">
        <v>0.315</v>
      </c>
      <c r="F22" s="218"/>
      <c r="G22" s="96">
        <f>E22</f>
        <v>0.315</v>
      </c>
      <c r="H22" s="218"/>
      <c r="I22" s="96">
        <v>0.29730000000000001</v>
      </c>
      <c r="J22" s="356"/>
      <c r="K22" s="6"/>
      <c r="L22" s="97"/>
    </row>
    <row r="23" spans="2:13" ht="15.75" customHeight="1" x14ac:dyDescent="0.3">
      <c r="B23" s="5" t="s">
        <v>177</v>
      </c>
      <c r="C23" s="29">
        <f>C19-C21</f>
        <v>669100</v>
      </c>
      <c r="D23" s="29"/>
      <c r="E23" s="29">
        <f>E19-E21</f>
        <v>652472.4149999998</v>
      </c>
      <c r="F23" s="29"/>
      <c r="G23" s="29">
        <f>IF(G20="","",G19-G21)</f>
        <v>685096.03575000004</v>
      </c>
      <c r="H23" s="29"/>
      <c r="I23" s="29">
        <f>IF(I20="","",I19-I21)</f>
        <v>739987.13250000007</v>
      </c>
      <c r="J23" s="292"/>
      <c r="K23" s="6"/>
      <c r="L23" s="97"/>
    </row>
    <row r="24" spans="2:13" ht="15.75" customHeight="1" x14ac:dyDescent="0.3">
      <c r="B24" s="17" t="s">
        <v>52</v>
      </c>
      <c r="C24" s="223">
        <f>C25/C19</f>
        <v>0.19607677705125501</v>
      </c>
      <c r="D24" s="223"/>
      <c r="E24" s="268">
        <f>E25/E19</f>
        <v>0.23337152115465296</v>
      </c>
      <c r="F24" s="223"/>
      <c r="G24" s="88">
        <f>G25/G19</f>
        <v>0.22892634932313571</v>
      </c>
      <c r="H24" s="223"/>
      <c r="I24" s="88">
        <f>I25/I19</f>
        <v>0.2060367303663081</v>
      </c>
      <c r="J24" s="357"/>
      <c r="K24" s="6"/>
      <c r="L24" s="97"/>
    </row>
    <row r="25" spans="2:13" ht="15.75" customHeight="1" x14ac:dyDescent="0.3">
      <c r="B25" s="8" t="s">
        <v>178</v>
      </c>
      <c r="C25" s="215">
        <f>304900+75600+84300</f>
        <v>464800</v>
      </c>
      <c r="D25" s="314"/>
      <c r="E25" s="99">
        <f>C25*1.04</f>
        <v>483392</v>
      </c>
      <c r="F25" s="314"/>
      <c r="G25" s="99">
        <f>E25*1.03</f>
        <v>497893.76</v>
      </c>
      <c r="H25" s="314"/>
      <c r="I25" s="99">
        <f>G25*1.03</f>
        <v>512830.57280000002</v>
      </c>
      <c r="J25" s="358"/>
      <c r="K25" s="6"/>
      <c r="L25" s="97"/>
    </row>
    <row r="26" spans="2:13" ht="15.75" customHeight="1" x14ac:dyDescent="0.3">
      <c r="B26" s="17" t="s">
        <v>53</v>
      </c>
      <c r="C26" s="18">
        <f>C28/C19</f>
        <v>8.6184349293398022E-2</v>
      </c>
      <c r="D26" s="18"/>
      <c r="E26" s="18">
        <f>E28/E19</f>
        <v>8.162847884534695E-2</v>
      </c>
      <c r="F26" s="18"/>
      <c r="G26" s="18">
        <f>IF(G20="","",G28/G19)</f>
        <v>8.6073650676864247E-2</v>
      </c>
      <c r="H26" s="18"/>
      <c r="I26" s="18">
        <f>IF(I20="","",I28/I19)</f>
        <v>9.1263269633691926E-2</v>
      </c>
      <c r="J26" s="278"/>
      <c r="K26" s="6"/>
      <c r="L26" s="97"/>
      <c r="M26" s="80"/>
    </row>
    <row r="27" spans="2:13" ht="15.75" customHeight="1" x14ac:dyDescent="0.3">
      <c r="B27" s="17" t="s">
        <v>179</v>
      </c>
      <c r="C27" s="220"/>
      <c r="D27" s="315"/>
      <c r="E27" s="14">
        <f>IF(ABS(C28+E28)=ABS(C28)+ABS(E28),IF(E28&lt;0,-1,1)*(E28-C28)/C28,"Turn")</f>
        <v>-0.17239150758688299</v>
      </c>
      <c r="F27" s="315"/>
      <c r="G27" s="14">
        <f>IF(G20="","",IF(ABS(E28+G28)=ABS(E28)+ABS(G28),IF(G28&lt;0,-1,1)*(G28-E28)/E28,"Turn"))</f>
        <v>0.10717894647940299</v>
      </c>
      <c r="H27" s="315"/>
      <c r="I27" s="14">
        <f>IF(I20="","",IF(ABS(G28+I28)=ABS(G28)+ABS(I28),IF(I28&lt;0,-1,1)*(I28-G28)/G28,"Turn"))</f>
        <v>0.21342840940329758</v>
      </c>
      <c r="J27" s="359"/>
      <c r="K27" s="6"/>
      <c r="L27" s="101"/>
      <c r="M27" s="102"/>
    </row>
    <row r="28" spans="2:13" ht="15.75" customHeight="1" thickBot="1" x14ac:dyDescent="0.35">
      <c r="B28" s="163" t="s">
        <v>315</v>
      </c>
      <c r="C28" s="271">
        <f>C23-C25</f>
        <v>204300</v>
      </c>
      <c r="D28" s="316"/>
      <c r="E28" s="271">
        <f>E23-E25</f>
        <v>169080.4149999998</v>
      </c>
      <c r="F28" s="316"/>
      <c r="G28" s="271">
        <f>IF(G20="","",G23-G25)</f>
        <v>187202.27575000003</v>
      </c>
      <c r="H28" s="316"/>
      <c r="I28" s="271">
        <f>IF(I20="","",I23-I25)</f>
        <v>227156.55970000004</v>
      </c>
      <c r="J28" s="360"/>
      <c r="K28" s="6"/>
      <c r="L28" s="103"/>
      <c r="M28" s="79"/>
    </row>
    <row r="29" spans="2:13" ht="15.75" customHeight="1" thickTop="1" x14ac:dyDescent="0.3">
      <c r="I29" s="6"/>
      <c r="J29" s="6"/>
    </row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</sheetData>
  <conditionalFormatting sqref="G20:H24 I23 I25:I28 I21 G26:H28 H25">
    <cfRule type="containsBlanks" dxfId="4" priority="6">
      <formula>LEN(TRIM(G20))=0</formula>
    </cfRule>
    <cfRule type="containsBlanks" priority="7">
      <formula>LEN(TRIM(G20))=0</formula>
    </cfRule>
  </conditionalFormatting>
  <conditionalFormatting sqref="I20 I24 I22">
    <cfRule type="containsBlanks" dxfId="3" priority="4">
      <formula>LEN(TRIM(I20))=0</formula>
    </cfRule>
    <cfRule type="containsBlanks" priority="5">
      <formula>LEN(TRIM(I20))=0</formula>
    </cfRule>
  </conditionalFormatting>
  <conditionalFormatting sqref="J20:J28">
    <cfRule type="containsBlanks" dxfId="2" priority="2">
      <formula>LEN(TRIM(J20))=0</formula>
    </cfRule>
    <cfRule type="containsBlanks" priority="3">
      <formula>LEN(TRIM(J20))=0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7"/>
  <sheetViews>
    <sheetView showGridLines="0" topLeftCell="A10" zoomScaleNormal="100" zoomScalePageLayoutView="80" workbookViewId="0">
      <selection activeCell="B47" sqref="B4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19" t="s">
        <v>292</v>
      </c>
      <c r="C2" s="350" t="s">
        <v>337</v>
      </c>
      <c r="D2" s="350">
        <v>1</v>
      </c>
      <c r="E2" s="350">
        <v>2</v>
      </c>
      <c r="F2" s="350">
        <v>3</v>
      </c>
      <c r="G2" s="12"/>
      <c r="H2" s="12"/>
      <c r="I2" s="12"/>
    </row>
    <row r="3" spans="1:10" ht="15.75" customHeight="1" x14ac:dyDescent="0.3">
      <c r="B3" s="31" t="str">
        <f>"(Numbers in "&amp;Data!C4&amp;Dashboard!I11&amp;")"</f>
        <v>(Numbers in 1000USD)</v>
      </c>
      <c r="C3" s="333">
        <f>Operation!C3</f>
        <v>44651</v>
      </c>
      <c r="D3" s="333">
        <f>Operation!E3</f>
        <v>45016</v>
      </c>
      <c r="E3" s="333">
        <f>Operation!G3</f>
        <v>45382</v>
      </c>
      <c r="F3" s="333">
        <f>Operation!I3</f>
        <v>45747</v>
      </c>
      <c r="G3" s="30" t="s">
        <v>335</v>
      </c>
      <c r="I3" s="95" t="s">
        <v>173</v>
      </c>
    </row>
    <row r="4" spans="1:10" ht="15.75" customHeight="1" x14ac:dyDescent="0.3">
      <c r="B4" s="5" t="s">
        <v>54</v>
      </c>
      <c r="C4" s="214">
        <f>Operation!C28</f>
        <v>204300</v>
      </c>
      <c r="D4" s="47">
        <f>Operation!E28</f>
        <v>169080.4149999998</v>
      </c>
      <c r="E4" s="47">
        <f>Operation!G28</f>
        <v>187202.27575000003</v>
      </c>
      <c r="F4" s="235">
        <f>Operation!I28</f>
        <v>227156.55970000004</v>
      </c>
      <c r="G4" s="232"/>
      <c r="H4" s="6"/>
      <c r="I4" s="103"/>
      <c r="J4" s="79"/>
    </row>
    <row r="5" spans="1:10" ht="15.75" customHeight="1" x14ac:dyDescent="0.3">
      <c r="B5" s="17" t="s">
        <v>317</v>
      </c>
      <c r="C5" s="307"/>
      <c r="D5" s="308">
        <f>Operation!E27</f>
        <v>-0.17239150758688299</v>
      </c>
      <c r="E5" s="308">
        <f>IF(E4="","",Operation!G27)</f>
        <v>0.10717894647940299</v>
      </c>
      <c r="F5" s="308">
        <f>IF(F4="","",Operation!I27)</f>
        <v>0.21342840940329758</v>
      </c>
      <c r="G5" s="232"/>
      <c r="H5" s="6"/>
      <c r="I5" s="103"/>
      <c r="J5" s="79"/>
    </row>
    <row r="6" spans="1:10" ht="15.75" customHeight="1" x14ac:dyDescent="0.3">
      <c r="B6" s="20" t="s">
        <v>180</v>
      </c>
      <c r="C6" s="221">
        <v>0.25</v>
      </c>
      <c r="D6" s="286">
        <f>C6</f>
        <v>0.25</v>
      </c>
      <c r="E6" s="287">
        <f>IF(E4="","",D6)</f>
        <v>0.25</v>
      </c>
      <c r="F6" s="288">
        <f>IF(F4="","",D6)</f>
        <v>0.25</v>
      </c>
      <c r="G6" s="233"/>
      <c r="H6" s="6"/>
      <c r="I6" s="102"/>
      <c r="J6" s="80"/>
    </row>
    <row r="7" spans="1:10" ht="15.75" customHeight="1" x14ac:dyDescent="0.3">
      <c r="B7" s="5" t="s">
        <v>102</v>
      </c>
      <c r="C7" s="222">
        <f>IF(C4&lt;=0,C4,C4*(1-C6))</f>
        <v>153225</v>
      </c>
      <c r="D7" s="104">
        <f>IF(D4&lt;=0,D4,D4*(1-D6))</f>
        <v>126810.31124999985</v>
      </c>
      <c r="E7" s="104">
        <f>IF(E4="","",IF(E4&lt;=0,E4,E4*(1-E6)))</f>
        <v>140401.70681250002</v>
      </c>
      <c r="F7" s="236">
        <f>IF(F4="","",IF(F4&lt;=0,F4,F4*(1-F6)))</f>
        <v>170367.41977500002</v>
      </c>
      <c r="G7" s="232"/>
      <c r="H7" s="6"/>
      <c r="I7" s="105"/>
      <c r="J7" s="79"/>
    </row>
    <row r="8" spans="1:10" ht="15.75" customHeight="1" x14ac:dyDescent="0.3">
      <c r="B8" s="17" t="s">
        <v>71</v>
      </c>
      <c r="C8" s="342">
        <f>C10/C7</f>
        <v>-1.9518889333867188E-2</v>
      </c>
      <c r="D8" s="343">
        <f>D10/D7</f>
        <v>0.14854973808549166</v>
      </c>
      <c r="E8" s="342">
        <f>IF(E11="","",E10/E7)</f>
        <v>0.1540705401921377</v>
      </c>
      <c r="F8" s="344">
        <f>IF(F11="","",F10/F7)</f>
        <v>0.22540001970866871</v>
      </c>
      <c r="G8" s="233"/>
      <c r="H8" s="6"/>
      <c r="I8" s="101"/>
    </row>
    <row r="9" spans="1:10" ht="15.75" customHeight="1" x14ac:dyDescent="0.3">
      <c r="B9" s="17" t="s">
        <v>320</v>
      </c>
      <c r="C9" s="309"/>
      <c r="D9" s="348">
        <f>(D7-C7)/C10</f>
        <v>8.8320346838468318</v>
      </c>
      <c r="E9" s="317">
        <f>IF(E7="","",(E7-D7)/D10)</f>
        <v>0.72150208987726783</v>
      </c>
      <c r="F9" s="349">
        <f>IF(F7="","",(F7-E7)/E10)</f>
        <v>1.3852642376481317</v>
      </c>
      <c r="G9" s="233"/>
      <c r="H9" s="6"/>
      <c r="I9" s="101"/>
    </row>
    <row r="10" spans="1:10" ht="15" customHeight="1" thickBot="1" x14ac:dyDescent="0.35">
      <c r="B10" s="106" t="s">
        <v>358</v>
      </c>
      <c r="C10" s="345">
        <f>C7-C11</f>
        <v>-2990.7818181818002</v>
      </c>
      <c r="D10" s="345">
        <f>D7-D11</f>
        <v>18837.638522727153</v>
      </c>
      <c r="E10" s="346">
        <f>IF(E11="","",E7-E11)</f>
        <v>21631.76681250002</v>
      </c>
      <c r="F10" s="347">
        <f>IF(F11="","",F7-F11)</f>
        <v>38400.81977500004</v>
      </c>
      <c r="G10" s="234"/>
      <c r="H10" s="107"/>
      <c r="I10" s="79"/>
      <c r="J10" s="79"/>
    </row>
    <row r="11" spans="1:10" ht="15.75" customHeight="1" thickTop="1" x14ac:dyDescent="0.3">
      <c r="B11" s="17" t="s">
        <v>181</v>
      </c>
      <c r="C11" s="226">
        <f>IF(C12="","",C12*Common_Shares/Data!C4)</f>
        <v>156215.7818181818</v>
      </c>
      <c r="D11" s="225">
        <f>IF(D12="","",D12*Common_Shares/Data!C4)</f>
        <v>107972.6727272727</v>
      </c>
      <c r="E11" s="225">
        <f>IF(E12="","",E12*Common_Shares/Data!C4)</f>
        <v>118769.94</v>
      </c>
      <c r="F11" s="225">
        <f>IF(F12="","",F12*Common_Shares/Data!C4)</f>
        <v>131966.59999999998</v>
      </c>
      <c r="G11" s="275">
        <f>IF(F4="",IF(E4="",D11,E11),F11)</f>
        <v>131966.59999999998</v>
      </c>
      <c r="H11" s="107"/>
      <c r="I11" s="79"/>
      <c r="J11" s="79"/>
    </row>
    <row r="12" spans="1:10" ht="15.75" customHeight="1" x14ac:dyDescent="0.3">
      <c r="B12" s="241" t="s">
        <v>283</v>
      </c>
      <c r="C12" s="272">
        <f>IF(C14="","",C14/C13)</f>
        <v>0.61818181818181817</v>
      </c>
      <c r="D12" s="273">
        <f>IF(D14="","",D14/D13)</f>
        <v>0.42727272727272719</v>
      </c>
      <c r="E12" s="273">
        <f>IF(E14="","",E14/E13)</f>
        <v>0.47</v>
      </c>
      <c r="F12" s="273">
        <f>IF(F14="","",F14/F13)</f>
        <v>0.52222222222222214</v>
      </c>
      <c r="G12" s="276">
        <f>G11*Data!C$4/Dashboard!I5</f>
        <v>0.52222222222222214</v>
      </c>
      <c r="H12" s="107"/>
      <c r="I12" s="79"/>
      <c r="J12" s="79"/>
    </row>
    <row r="13" spans="1:10" ht="15.75" customHeight="1" x14ac:dyDescent="0.3">
      <c r="B13" s="281" t="s">
        <v>316</v>
      </c>
      <c r="C13" s="338">
        <v>1.1000000000000001</v>
      </c>
      <c r="D13" s="274">
        <v>1.1000000000000001</v>
      </c>
      <c r="E13" s="274">
        <v>1</v>
      </c>
      <c r="F13" s="274">
        <v>0.9</v>
      </c>
      <c r="G13" s="282"/>
      <c r="H13" s="107"/>
      <c r="I13" s="79"/>
      <c r="J13" s="79"/>
    </row>
    <row r="14" spans="1:10" ht="15.75" customHeight="1" x14ac:dyDescent="0.3">
      <c r="B14" s="281" t="s">
        <v>336</v>
      </c>
      <c r="C14" s="340">
        <f>0.51+0.17</f>
        <v>0.68</v>
      </c>
      <c r="D14" s="341">
        <f>0.17+0.3</f>
        <v>0.47</v>
      </c>
      <c r="E14" s="341">
        <f>D14</f>
        <v>0.47</v>
      </c>
      <c r="F14" s="341">
        <v>0.47</v>
      </c>
      <c r="G14" s="339"/>
      <c r="H14" s="107"/>
      <c r="I14" s="79"/>
      <c r="J14" s="79"/>
    </row>
    <row r="15" spans="1:10" ht="15.75" customHeight="1" x14ac:dyDescent="0.3">
      <c r="B15" s="19" t="s">
        <v>286</v>
      </c>
      <c r="C15" s="283">
        <v>0</v>
      </c>
      <c r="D15" s="283">
        <f>0.36</f>
        <v>0.36</v>
      </c>
      <c r="E15" s="283">
        <f>E14</f>
        <v>0.47</v>
      </c>
      <c r="F15" s="283">
        <f>F14</f>
        <v>0.47</v>
      </c>
      <c r="G15" s="277">
        <f>G12*D31</f>
        <v>13.442</v>
      </c>
      <c r="H15" s="107"/>
      <c r="I15" s="79"/>
      <c r="J15" s="79"/>
    </row>
    <row r="16" spans="1:10" ht="15.75" customHeight="1" x14ac:dyDescent="0.3">
      <c r="B16" s="17" t="s">
        <v>182</v>
      </c>
      <c r="C16" s="224"/>
      <c r="D16" s="265">
        <f ca="1">Dashboard!D12</f>
        <v>0.17354444444444445</v>
      </c>
      <c r="E16" s="18">
        <f ca="1">IF(E4="","",D16)</f>
        <v>0.17354444444444445</v>
      </c>
      <c r="F16" s="18">
        <f ca="1">IF(F4="","",D16)</f>
        <v>0.17354444444444445</v>
      </c>
      <c r="G16" s="278">
        <f ca="1">Dashboard!D12</f>
        <v>0.17354444444444445</v>
      </c>
      <c r="H16" s="85"/>
      <c r="I16" s="80"/>
      <c r="J16" s="80"/>
    </row>
    <row r="17" spans="2:10" ht="15.75" customHeight="1" thickBot="1" x14ac:dyDescent="0.35">
      <c r="B17" s="108" t="s">
        <v>183</v>
      </c>
      <c r="C17" s="142"/>
      <c r="D17" s="266">
        <f ca="1">IF(D4="","",1+D16)</f>
        <v>1.1735444444444445</v>
      </c>
      <c r="E17" s="267">
        <f ca="1">IF(E4="","",(1+D16)*(1+E16))</f>
        <v>1.3772065630864199</v>
      </c>
      <c r="F17" s="267">
        <f ca="1">IF(F4="","",(1+D16)*(1+E16)*(1+F16))</f>
        <v>1.6162131109624953</v>
      </c>
      <c r="G17" s="279">
        <f ca="1">IF(F4="",IF(E4="",D17,E17),F17)*(1+G16)</f>
        <v>1.896697917408309</v>
      </c>
      <c r="H17" s="85"/>
      <c r="I17" s="80"/>
      <c r="J17" s="80"/>
    </row>
    <row r="18" spans="2:10" ht="15.75" customHeight="1" thickTop="1" x14ac:dyDescent="0.3">
      <c r="B18" s="8" t="s">
        <v>287</v>
      </c>
      <c r="C18" s="284">
        <f>C15</f>
        <v>0</v>
      </c>
      <c r="D18" s="229">
        <f ca="1">IF(D15="","",IF(D15=0,0,D15/D17))</f>
        <v>0.30676298772001248</v>
      </c>
      <c r="E18" s="230">
        <f ca="1">IF(E15="","",IF(E15=0,0,E15/E17))</f>
        <v>0.34127052004943681</v>
      </c>
      <c r="F18" s="230">
        <f ca="1">IF(F15="","",IF(F15=0,0,F15/F17))</f>
        <v>0.29080323430868793</v>
      </c>
      <c r="G18" s="280">
        <f ca="1">IF(G15=0,0,G15/G17)</f>
        <v>7.0870537035056449</v>
      </c>
      <c r="H18" s="105"/>
      <c r="I18" s="79"/>
      <c r="J18" s="79"/>
    </row>
    <row r="19" spans="2:10" ht="15.75" customHeight="1" x14ac:dyDescent="0.3">
      <c r="F19" s="6"/>
      <c r="G19" s="143"/>
    </row>
    <row r="20" spans="2:10" ht="15.75" customHeight="1" x14ac:dyDescent="0.3">
      <c r="B20" s="27" t="s">
        <v>288</v>
      </c>
      <c r="C20" s="228" t="str">
        <f>B3</f>
        <v>(Numbers in 1000USD)</v>
      </c>
      <c r="E20" s="95" t="s">
        <v>289</v>
      </c>
    </row>
    <row r="21" spans="2:10" ht="15.75" customHeight="1" x14ac:dyDescent="0.3">
      <c r="B21" s="81" t="s">
        <v>309</v>
      </c>
      <c r="C21" s="109">
        <f>Asset_Model!E59</f>
        <v>103300</v>
      </c>
      <c r="D21" s="260">
        <f>C21/(Dashboard!I5/Data!C4)</f>
        <v>0.40878188538278287</v>
      </c>
      <c r="E21" s="110" t="s">
        <v>306</v>
      </c>
      <c r="G21" s="166">
        <f>C21+C22+C23+C24</f>
        <v>-165880</v>
      </c>
    </row>
    <row r="22" spans="2:10" ht="15.75" customHeight="1" x14ac:dyDescent="0.3">
      <c r="B22" s="81" t="s">
        <v>313</v>
      </c>
      <c r="C22" s="109">
        <f>Asset_Model!E58</f>
        <v>3320</v>
      </c>
      <c r="D22" s="260">
        <f>C22/(Dashboard!I5/Data!C4)</f>
        <v>1.3138004447926807E-2</v>
      </c>
      <c r="E22" s="110" t="s">
        <v>307</v>
      </c>
      <c r="G22" s="231">
        <f>G21*Data!C$4/Dashboard!I5</f>
        <v>-0.65642535476569241</v>
      </c>
    </row>
    <row r="23" spans="2:10" ht="15.75" customHeight="1" x14ac:dyDescent="0.3">
      <c r="B23" s="81" t="s">
        <v>290</v>
      </c>
      <c r="C23" s="109">
        <f>-Asset_Model!D52</f>
        <v>-272500</v>
      </c>
      <c r="D23" s="260">
        <f>C23/(Dashboard!I5/Data!C4)</f>
        <v>-1.0783452445964021</v>
      </c>
      <c r="E23" s="460" t="str">
        <f>IF(F24+G24=G22,"⇒","Error!")</f>
        <v>⇒</v>
      </c>
      <c r="F23" s="175" t="s">
        <v>314</v>
      </c>
      <c r="G23" s="113" t="s">
        <v>25</v>
      </c>
    </row>
    <row r="24" spans="2:10" ht="15.75" customHeight="1" x14ac:dyDescent="0.3">
      <c r="B24" s="110" t="s">
        <v>308</v>
      </c>
      <c r="C24" s="109">
        <f>-Asset_Model!E50</f>
        <v>0</v>
      </c>
      <c r="D24" s="260">
        <f>C24/(Dashboard!I5/Data!C4)</f>
        <v>0</v>
      </c>
      <c r="E24" s="460"/>
      <c r="F24" s="180">
        <f>D21</f>
        <v>0.40878188538278287</v>
      </c>
      <c r="G24" s="179">
        <f>SUM(D22:D24)</f>
        <v>-1.0652072401484753</v>
      </c>
    </row>
    <row r="25" spans="2:10" ht="15.75" customHeight="1" x14ac:dyDescent="0.3">
      <c r="F25" s="6"/>
      <c r="G25" s="6"/>
    </row>
    <row r="26" spans="2:10" ht="15.75" customHeight="1" x14ac:dyDescent="0.3">
      <c r="B26" s="27" t="s">
        <v>291</v>
      </c>
      <c r="C26" s="228" t="str">
        <f>B3</f>
        <v>(Numbers in 1000USD)</v>
      </c>
      <c r="E26" s="111"/>
      <c r="F26" s="459" t="s">
        <v>298</v>
      </c>
      <c r="G26" s="459"/>
    </row>
    <row r="27" spans="2:10" ht="15.75" customHeight="1" x14ac:dyDescent="0.3">
      <c r="B27" s="156" t="str">
        <f>"Exit after Year "&amp;B28</f>
        <v>Exit after Year 3</v>
      </c>
      <c r="C27" s="156" t="s">
        <v>294</v>
      </c>
      <c r="D27" s="238" t="s">
        <v>285</v>
      </c>
      <c r="E27" s="156" t="s">
        <v>295</v>
      </c>
      <c r="F27" s="320" t="s">
        <v>297</v>
      </c>
      <c r="G27" s="320" t="s">
        <v>296</v>
      </c>
      <c r="I27" s="112" t="s">
        <v>173</v>
      </c>
    </row>
    <row r="28" spans="2:10" ht="15.75" hidden="1" customHeight="1" x14ac:dyDescent="0.3">
      <c r="B28" s="243">
        <f>IF(F3="",IF(E3="",1,2),3)</f>
        <v>3</v>
      </c>
      <c r="D28" s="237">
        <v>8</v>
      </c>
      <c r="E28" s="242">
        <f ca="1">G12*D28/G17</f>
        <v>2.2026584937080478</v>
      </c>
      <c r="F28" s="6"/>
      <c r="G28" s="113"/>
      <c r="I28" s="114"/>
    </row>
    <row r="29" spans="2:10" ht="15.75" customHeight="1" x14ac:dyDescent="0.3">
      <c r="B29" s="175" t="s">
        <v>323</v>
      </c>
      <c r="C29" s="14">
        <f>1/D29</f>
        <v>5.5555555555555552E-2</v>
      </c>
      <c r="D29" s="237">
        <f>'Qualitative Analysis'!E22</f>
        <v>18</v>
      </c>
      <c r="E29" s="247">
        <f t="dataTable" ref="E29:E31" dt2D="0" dtr="0" r1="D28" ca="1"/>
        <v>4.9559816108431081</v>
      </c>
      <c r="F29" s="461">
        <f ca="1">SUM(C18:F18)</f>
        <v>0.93883674207813717</v>
      </c>
      <c r="G29" s="247">
        <f ca="1">$F$29+E29+$G$22</f>
        <v>5.2383929981555521</v>
      </c>
      <c r="I29" s="97"/>
    </row>
    <row r="30" spans="2:10" ht="15.75" customHeight="1" x14ac:dyDescent="0.3">
      <c r="B30" s="175" t="s">
        <v>324</v>
      </c>
      <c r="C30" s="14">
        <f t="shared" ref="C30" si="0">1/D30</f>
        <v>4.2735042735042729E-2</v>
      </c>
      <c r="D30" s="237">
        <f>D29*1.3</f>
        <v>23.400000000000002</v>
      </c>
      <c r="E30" s="246">
        <v>6.4427760940960406</v>
      </c>
      <c r="F30" s="462"/>
      <c r="G30" s="246">
        <f ca="1">$F$29+E30+$G$22</f>
        <v>6.7251874814084847</v>
      </c>
      <c r="I30" s="97"/>
    </row>
    <row r="31" spans="2:10" ht="15.75" customHeight="1" x14ac:dyDescent="0.3">
      <c r="B31" s="178" t="s">
        <v>325</v>
      </c>
      <c r="C31" s="239">
        <f>1/D31</f>
        <v>3.8850038850038841E-2</v>
      </c>
      <c r="D31" s="240">
        <f>D30*1.1</f>
        <v>25.740000000000006</v>
      </c>
      <c r="E31" s="248">
        <v>7.0870537035056449</v>
      </c>
      <c r="F31" s="463"/>
      <c r="G31" s="248">
        <f ca="1">$F$29+E31+$G$22</f>
        <v>7.369465090818089</v>
      </c>
      <c r="I31" s="97"/>
    </row>
    <row r="32" spans="2:10" ht="15.75" customHeight="1" x14ac:dyDescent="0.3">
      <c r="C32" s="6"/>
      <c r="D32" s="6"/>
      <c r="E32" s="6"/>
      <c r="F32" s="6"/>
      <c r="G32" s="6"/>
    </row>
    <row r="33" spans="1:9" ht="15.75" customHeight="1" x14ac:dyDescent="0.3">
      <c r="A33" s="10"/>
      <c r="B33" s="11" t="s">
        <v>19</v>
      </c>
      <c r="C33" s="300" t="str">
        <f>"(Numbers in "&amp;Dashboard!J4&amp;" per share)"</f>
        <v>(Numbers in HKD per share)</v>
      </c>
      <c r="D33" s="156"/>
      <c r="E33" s="162"/>
      <c r="F33" s="156"/>
      <c r="G33" s="156"/>
      <c r="H33" s="12"/>
      <c r="I33" s="117"/>
    </row>
    <row r="34" spans="1:9" ht="15.75" customHeight="1" x14ac:dyDescent="0.3">
      <c r="A34" s="6"/>
      <c r="B34" s="94" t="s">
        <v>184</v>
      </c>
      <c r="C34" s="302">
        <f ca="1">MIN(Asset_Model!D7,G29)+(ABS(Asset_Model!D7-G29)*'Qualitative Analysis'!E81)*Exchange_Rate</f>
        <v>20.897173050980452</v>
      </c>
      <c r="D34" s="24" t="str">
        <f ca="1">IF(C34&lt;E34,"&lt;",IF(C34=E34,"=","&gt;"))</f>
        <v>&lt;</v>
      </c>
      <c r="E34" s="301">
        <f ca="1">G30*Exchange_Rate</f>
        <v>52.765300352065523</v>
      </c>
      <c r="F34" s="32"/>
      <c r="H34" s="6"/>
      <c r="I34" s="6"/>
    </row>
    <row r="35" spans="1:9" ht="15.75" customHeight="1" x14ac:dyDescent="0.3">
      <c r="B35" s="6"/>
      <c r="C35" s="151"/>
      <c r="D35" s="151"/>
      <c r="E35" s="151"/>
      <c r="F35" s="151"/>
      <c r="G35" s="152"/>
      <c r="H35" s="6"/>
      <c r="I35" s="115"/>
    </row>
    <row r="36" spans="1:9" ht="15.75" customHeight="1" x14ac:dyDescent="0.3">
      <c r="C36" s="403" t="s">
        <v>185</v>
      </c>
      <c r="D36" s="458"/>
      <c r="E36" s="32" t="s">
        <v>284</v>
      </c>
      <c r="F36" s="32" t="s">
        <v>20</v>
      </c>
      <c r="G36" s="32"/>
      <c r="H36" s="6"/>
    </row>
    <row r="37" spans="1:9" ht="15.75" customHeight="1" x14ac:dyDescent="0.3">
      <c r="B37" s="306" t="s">
        <v>301</v>
      </c>
      <c r="C37" s="303">
        <f ca="1">MIN(C34,E34)+(ABS(C34-E34)*'Qualitative Analysis'!E81)</f>
        <v>37.100417595392699</v>
      </c>
      <c r="D37" s="147" t="str">
        <f>Dashboard!J4</f>
        <v>HKD</v>
      </c>
      <c r="E37" s="148">
        <f ca="1">(C37-G22)/C12</f>
        <v>61.077245948785638</v>
      </c>
      <c r="F37" s="190">
        <f ca="1">C37/(Data!C28*Exchange_Rate*Data!C4/Common_Shares)</f>
        <v>1.7603605394410378</v>
      </c>
      <c r="G37" s="113"/>
      <c r="H37" s="6"/>
      <c r="I37" s="97"/>
    </row>
    <row r="38" spans="1:9" ht="15.75" customHeight="1" x14ac:dyDescent="0.3">
      <c r="B38" s="305" t="s">
        <v>300</v>
      </c>
      <c r="C38" s="304">
        <f ca="1">(G15/(1+G38)^B28+F29+G22)*Exchange_Rate</f>
        <v>98.984537692105292</v>
      </c>
      <c r="D38" s="249" t="str">
        <f>D37</f>
        <v>HKD</v>
      </c>
      <c r="E38" s="148">
        <f ca="1">(C38-G22)/C12</f>
        <v>161.18391081111483</v>
      </c>
      <c r="F38" s="190">
        <f ca="1">C38/(Data!C28*Exchange_Rate*Data!C4/Common_Shares)</f>
        <v>4.6966715056499844</v>
      </c>
      <c r="G38" s="336">
        <f>Dashboard!D10</f>
        <v>2.9100000000000001E-2</v>
      </c>
    </row>
    <row r="39" spans="1:9" ht="15.75" customHeight="1" x14ac:dyDescent="0.3"/>
    <row r="40" spans="1:9" ht="15.75" customHeight="1" x14ac:dyDescent="0.3"/>
    <row r="41" spans="1:9" ht="15.75" customHeight="1" x14ac:dyDescent="0.3"/>
    <row r="42" spans="1:9" ht="15.75" customHeight="1" x14ac:dyDescent="0.3"/>
    <row r="43" spans="1:9" ht="15.75" customHeight="1" x14ac:dyDescent="0.3"/>
    <row r="44" spans="1:9" ht="15.75" customHeight="1" x14ac:dyDescent="0.3"/>
    <row r="45" spans="1:9" ht="15.75" customHeight="1" x14ac:dyDescent="0.3"/>
    <row r="46" spans="1:9" ht="15.75" customHeight="1" x14ac:dyDescent="0.3"/>
    <row r="47" spans="1:9" ht="15.75" customHeight="1" x14ac:dyDescent="0.3"/>
    <row r="48" spans="1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</sheetData>
  <mergeCells count="4">
    <mergeCell ref="C36:D36"/>
    <mergeCell ref="F26:G26"/>
    <mergeCell ref="E23:E24"/>
    <mergeCell ref="F29:F31"/>
  </mergeCells>
  <conditionalFormatting sqref="E4:F18">
    <cfRule type="containsBlanks" dxfId="1" priority="5">
      <formula>LEN(TRIM(E4))=0</formula>
    </cfRule>
  </conditionalFormatting>
  <conditionalFormatting sqref="E29:E31 G29:G31">
    <cfRule type="cellIs" dxfId="0" priority="28" operator="equal">
      <formula>$E$34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94"/>
  <sheetViews>
    <sheetView showGridLines="0" topLeftCell="A10" zoomScaleNormal="10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186</v>
      </c>
      <c r="C2" s="122"/>
      <c r="D2" s="12"/>
      <c r="E2" s="12"/>
      <c r="G2" s="95" t="s">
        <v>173</v>
      </c>
    </row>
    <row r="3" spans="1:7" ht="14" x14ac:dyDescent="0.3">
      <c r="B3" s="123" t="s">
        <v>187</v>
      </c>
      <c r="C3" s="124"/>
      <c r="D3" s="6"/>
      <c r="E3" s="6"/>
      <c r="G3" s="103"/>
    </row>
    <row r="4" spans="1:7" ht="14" x14ac:dyDescent="0.3">
      <c r="B4" s="6" t="s">
        <v>188</v>
      </c>
      <c r="C4" s="124"/>
      <c r="D4" s="121">
        <f>IF(E4="Strongly disagree",0,IF(E4="disagree",1,IF(E4="unclear",2,IF(E4="agree",3,4))))</f>
        <v>1</v>
      </c>
      <c r="E4" s="33" t="s">
        <v>209</v>
      </c>
      <c r="G4" s="103"/>
    </row>
    <row r="5" spans="1:7" ht="14" x14ac:dyDescent="0.3">
      <c r="B5" s="6" t="s">
        <v>190</v>
      </c>
      <c r="C5" s="124"/>
      <c r="D5" s="121">
        <f t="shared" ref="D5" si="0">IF(E5="Strongly disagree",0,IF(E5="disagree",1,IF(E5="unclear",2,IF(E5="agree",3,4))))</f>
        <v>0</v>
      </c>
      <c r="E5" s="33" t="s">
        <v>227</v>
      </c>
      <c r="G5" s="101"/>
    </row>
    <row r="6" spans="1:7" ht="14" x14ac:dyDescent="0.3">
      <c r="B6" s="6" t="s">
        <v>192</v>
      </c>
      <c r="C6" s="124"/>
      <c r="D6" s="121">
        <f>IF(E6="Strongly disagree",0,IF(E6="disagree",1,IF(E6="unclear",2,IF(E6="agree",3,4))))</f>
        <v>0</v>
      </c>
      <c r="E6" s="33" t="s">
        <v>227</v>
      </c>
      <c r="G6" s="103"/>
    </row>
    <row r="7" spans="1:7" ht="14" x14ac:dyDescent="0.3">
      <c r="B7" s="125" t="s">
        <v>193</v>
      </c>
      <c r="C7" s="124"/>
      <c r="D7" s="121">
        <f>AVERAGE(D4:D6)</f>
        <v>0.33333333333333331</v>
      </c>
      <c r="E7" s="126">
        <f>D7/4</f>
        <v>8.3333333333333329E-2</v>
      </c>
      <c r="G7" s="101"/>
    </row>
    <row r="8" spans="1:7" ht="14" x14ac:dyDescent="0.3">
      <c r="B8" s="124"/>
      <c r="C8" s="124"/>
      <c r="E8" s="6"/>
      <c r="G8" s="101"/>
    </row>
    <row r="9" spans="1:7" ht="14" x14ac:dyDescent="0.3">
      <c r="B9" s="127" t="s">
        <v>194</v>
      </c>
      <c r="C9" s="55"/>
      <c r="D9" s="40"/>
      <c r="E9" s="24"/>
      <c r="G9" s="103"/>
    </row>
    <row r="10" spans="1:7" ht="14" x14ac:dyDescent="0.3">
      <c r="B10" s="3" t="s">
        <v>195</v>
      </c>
      <c r="D10" s="128">
        <f>IF(E10="Strongly disagree",0,IF(E10="disagree",1,IF(E10="unclear",2,IF(E10="agree",3,4))))</f>
        <v>3</v>
      </c>
      <c r="E10" s="33" t="s">
        <v>191</v>
      </c>
      <c r="G10" s="103"/>
    </row>
    <row r="11" spans="1:7" ht="14" x14ac:dyDescent="0.3">
      <c r="B11" s="3" t="s">
        <v>196</v>
      </c>
      <c r="C11" s="55"/>
      <c r="D11" s="128">
        <f>IF(E11="Strongly disagree",0,IF(E11="disagree",1,IF(E11="unclear",2,IF(E11="agree",3,4))))</f>
        <v>0</v>
      </c>
      <c r="E11" s="130" t="str">
        <f>IF(D7&gt;=3.5,"Strongly agree",IF(D7&gt;=2.5,"agree",IF(D7&gt;=1.5,"unclear",IF(D7&gt;=0.5,"disagree","Strongly disagree"))))</f>
        <v>Strongly disagree</v>
      </c>
      <c r="G11" s="103"/>
    </row>
    <row r="12" spans="1:7" ht="14" x14ac:dyDescent="0.3">
      <c r="B12" s="3" t="s">
        <v>197</v>
      </c>
      <c r="D12" s="128">
        <f>IF(E12="Strongly disagree",0,IF(E12="disagree",1,IF(E12="unclear",2,IF(E12="agree",3,4))))</f>
        <v>2</v>
      </c>
      <c r="E12" s="129" t="str">
        <f>IF(D81&gt;=3.5,"Strongly agree",IF(D81&gt;=2.5,"agree",IF(D81&gt;=1.5,"unclear",IF(D81&gt;=0.5,"disagree","Strongly disagree"))))</f>
        <v>unclear</v>
      </c>
      <c r="G12" s="103"/>
    </row>
    <row r="13" spans="1:7" ht="14" x14ac:dyDescent="0.3">
      <c r="B13" s="125" t="s">
        <v>198</v>
      </c>
      <c r="D13" s="128">
        <f>AVERAGE(D10:D12)</f>
        <v>1.6666666666666667</v>
      </c>
      <c r="E13" s="126">
        <f>D13/3</f>
        <v>0.55555555555555558</v>
      </c>
      <c r="G13" s="103"/>
    </row>
    <row r="14" spans="1:7" ht="14" x14ac:dyDescent="0.3">
      <c r="B14" s="125"/>
      <c r="D14" s="128"/>
      <c r="E14" s="113"/>
      <c r="G14" s="103"/>
    </row>
    <row r="15" spans="1:7" x14ac:dyDescent="0.3">
      <c r="A15" s="4"/>
      <c r="B15" s="11" t="s">
        <v>363</v>
      </c>
      <c r="C15" s="21"/>
      <c r="D15" s="21"/>
      <c r="E15" s="12"/>
      <c r="G15" s="101"/>
    </row>
    <row r="16" spans="1:7" ht="14" x14ac:dyDescent="0.3">
      <c r="B16" s="3" t="s">
        <v>199</v>
      </c>
      <c r="C16" s="6"/>
      <c r="D16" s="128" t="str">
        <f>IF(LEFT(E16,3)="(+)","+","-")</f>
        <v>+</v>
      </c>
      <c r="E16" s="33" t="s">
        <v>355</v>
      </c>
      <c r="F16" s="6"/>
      <c r="G16" s="103"/>
    </row>
    <row r="17" spans="1:7" ht="14" x14ac:dyDescent="0.3">
      <c r="B17" s="3" t="s">
        <v>200</v>
      </c>
      <c r="D17" s="128" t="str">
        <f t="shared" ref="D17:D18" si="1">IF(LEFT(E17,3)="(+)","+","-")</f>
        <v>-</v>
      </c>
      <c r="E17" s="177" t="s">
        <v>201</v>
      </c>
      <c r="G17" s="371"/>
    </row>
    <row r="18" spans="1:7" ht="14" x14ac:dyDescent="0.3">
      <c r="B18" s="3" t="s">
        <v>202</v>
      </c>
      <c r="D18" s="128" t="str">
        <f t="shared" si="1"/>
        <v>-</v>
      </c>
      <c r="E18" s="33" t="s">
        <v>356</v>
      </c>
      <c r="G18" s="371"/>
    </row>
    <row r="19" spans="1:7" ht="14" x14ac:dyDescent="0.3">
      <c r="B19" s="125" t="s">
        <v>203</v>
      </c>
      <c r="D19" s="128" t="str">
        <f>D16&amp;D17&amp;D18</f>
        <v>+--</v>
      </c>
      <c r="E19" s="375" t="str">
        <f>IF(D19="+-+","Growth", IF(D19="+--","Mature", "Shakeout/Decline")) &amp; " stage"</f>
        <v>Mature stage</v>
      </c>
      <c r="G19" s="371" t="s">
        <v>362</v>
      </c>
    </row>
    <row r="20" spans="1:7" ht="14" x14ac:dyDescent="0.3">
      <c r="B20" s="125" t="s">
        <v>364</v>
      </c>
      <c r="E20" s="376" t="str">
        <f>Dashboard!D20</f>
        <v>Cyclicals</v>
      </c>
    </row>
    <row r="21" spans="1:7" ht="14" x14ac:dyDescent="0.3">
      <c r="D21" s="175" t="s">
        <v>365</v>
      </c>
    </row>
    <row r="22" spans="1:7" ht="14" x14ac:dyDescent="0.3">
      <c r="B22" s="125" t="s">
        <v>360</v>
      </c>
      <c r="D22" s="113">
        <f>1/E22</f>
        <v>5.5555555555555552E-2</v>
      </c>
      <c r="E22" s="374">
        <v>18</v>
      </c>
      <c r="F22" s="6"/>
      <c r="G22" s="101" t="s">
        <v>359</v>
      </c>
    </row>
    <row r="23" spans="1:7" ht="15" customHeight="1" x14ac:dyDescent="0.3">
      <c r="E23" s="6"/>
      <c r="G23" s="371"/>
    </row>
    <row r="24" spans="1:7" ht="15" customHeight="1" x14ac:dyDescent="0.3">
      <c r="A24" s="4"/>
      <c r="B24" s="11" t="s">
        <v>204</v>
      </c>
      <c r="C24" s="21"/>
      <c r="D24" s="21"/>
      <c r="E24" s="12"/>
      <c r="G24" s="371"/>
    </row>
    <row r="25" spans="1:7" ht="15" customHeight="1" x14ac:dyDescent="0.3">
      <c r="B25" s="127" t="s">
        <v>205</v>
      </c>
      <c r="C25" s="120"/>
      <c r="E25" s="6"/>
      <c r="G25" s="371"/>
    </row>
    <row r="26" spans="1:7" ht="15" customHeight="1" x14ac:dyDescent="0.3">
      <c r="B26" s="55" t="s">
        <v>275</v>
      </c>
      <c r="D26" s="128">
        <f>IF(E26="Strongly disagree",0,IF(E26="disagree",1,IF(E26="unclear",2,IF(E26="agree",3,4))))</f>
        <v>0</v>
      </c>
      <c r="E26" s="129" t="str">
        <f>E11</f>
        <v>Strongly disagree</v>
      </c>
      <c r="F26" s="6"/>
      <c r="G26" s="371"/>
    </row>
    <row r="27" spans="1:7" ht="15" customHeight="1" x14ac:dyDescent="0.3">
      <c r="B27" s="55" t="s">
        <v>206</v>
      </c>
      <c r="D27" s="128">
        <f>IF(E27="Strongly disagree",0,IF(E27="disagree",1,IF(E27="unclear",2,IF(E27="agree",3,4))))</f>
        <v>2</v>
      </c>
      <c r="E27" s="33" t="s">
        <v>189</v>
      </c>
      <c r="F27" s="6"/>
      <c r="G27" s="371"/>
    </row>
    <row r="28" spans="1:7" ht="15" customHeight="1" x14ac:dyDescent="0.3">
      <c r="B28" s="55" t="s">
        <v>207</v>
      </c>
      <c r="D28" s="128">
        <f>IF(E28="Strongly disagree",0,IF(E28="disagree",1,IF(E28="unclear",2,IF(E28="agree",3,4))))</f>
        <v>2</v>
      </c>
      <c r="E28" s="33" t="s">
        <v>189</v>
      </c>
      <c r="F28" s="6"/>
      <c r="G28" s="371"/>
    </row>
    <row r="29" spans="1:7" ht="15" customHeight="1" x14ac:dyDescent="0.3">
      <c r="B29" s="55" t="s">
        <v>208</v>
      </c>
      <c r="D29" s="128">
        <f>IF(E29="Strongly disagree",0,IF(E29="disagree",1,IF(E29="unclear",2,IF(E29="agree",3,4))))</f>
        <v>2</v>
      </c>
      <c r="E29" s="33" t="s">
        <v>189</v>
      </c>
      <c r="F29" s="6"/>
      <c r="G29" s="371"/>
    </row>
    <row r="30" spans="1:7" ht="15" customHeight="1" x14ac:dyDescent="0.3">
      <c r="B30" s="55" t="s">
        <v>210</v>
      </c>
      <c r="D30" s="128">
        <f>IF(E30="Strongly disagree",0,IF(E30="disagree",1,IF(E30="unclear",2,IF(E30="agree",3,4))))</f>
        <v>4</v>
      </c>
      <c r="E30" s="33" t="s">
        <v>211</v>
      </c>
      <c r="F30" s="6"/>
      <c r="G30" s="371"/>
    </row>
    <row r="31" spans="1:7" ht="15" customHeight="1" x14ac:dyDescent="0.3">
      <c r="B31" s="127" t="s">
        <v>212</v>
      </c>
      <c r="D31" s="40"/>
      <c r="E31" s="24"/>
      <c r="G31" s="371"/>
    </row>
    <row r="32" spans="1:7" ht="15" customHeight="1" x14ac:dyDescent="0.3">
      <c r="B32" s="55" t="s">
        <v>213</v>
      </c>
      <c r="D32" s="128">
        <f>IF(E32="Strongly disagree",0,IF(E32="disagree",1,IF(E32="unclear",2,IF(E32="agree",3,4))))</f>
        <v>0</v>
      </c>
      <c r="E32" s="51" t="str">
        <f>IF(OR(Asset_Model!I24&lt;0.8,Asset_Model!I44&lt;0.6),"Strongly disagree",
IF(OR(Asset_Model!I24&lt;1,Asset_Model!I44&lt;0.8),"unclear", IF(OR(Asset_Model!I24&lt;1.8,Asset_Model!I44&lt;1.4),"agree","Strongly agree"))
)</f>
        <v>Strongly disagree</v>
      </c>
      <c r="F32" s="6"/>
      <c r="G32" s="371"/>
    </row>
    <row r="33" spans="2:7" ht="15" customHeight="1" x14ac:dyDescent="0.3">
      <c r="B33" s="55" t="s">
        <v>214</v>
      </c>
      <c r="D33" s="128">
        <f t="shared" ref="D33:D36" si="2">IF(E33="Strongly disagree",0,IF(E33="disagree",1,IF(E33="unclear",2,IF(E33="agree",3,4))))</f>
        <v>1</v>
      </c>
      <c r="E33" s="33" t="s">
        <v>209</v>
      </c>
      <c r="F33" s="6"/>
      <c r="G33" s="371"/>
    </row>
    <row r="34" spans="2:7" ht="15" customHeight="1" x14ac:dyDescent="0.3">
      <c r="B34" s="55" t="s">
        <v>215</v>
      </c>
      <c r="D34" s="128">
        <f t="shared" si="2"/>
        <v>0</v>
      </c>
      <c r="E34" s="33" t="s">
        <v>227</v>
      </c>
      <c r="F34" s="6"/>
      <c r="G34" s="371"/>
    </row>
    <row r="35" spans="2:7" ht="15" customHeight="1" x14ac:dyDescent="0.3">
      <c r="B35" s="55" t="s">
        <v>216</v>
      </c>
      <c r="D35" s="128">
        <f t="shared" si="2"/>
        <v>2</v>
      </c>
      <c r="E35" s="33" t="s">
        <v>189</v>
      </c>
      <c r="F35" s="6"/>
      <c r="G35" s="371"/>
    </row>
    <row r="36" spans="2:7" ht="15" customHeight="1" x14ac:dyDescent="0.3">
      <c r="B36" s="55" t="s">
        <v>217</v>
      </c>
      <c r="D36" s="128">
        <f t="shared" si="2"/>
        <v>1</v>
      </c>
      <c r="E36" s="33" t="s">
        <v>209</v>
      </c>
      <c r="F36" s="6"/>
      <c r="G36" s="371"/>
    </row>
    <row r="37" spans="2:7" ht="15" customHeight="1" x14ac:dyDescent="0.3">
      <c r="B37" s="127" t="s">
        <v>218</v>
      </c>
      <c r="D37" s="40"/>
      <c r="E37" s="24"/>
      <c r="G37" s="371"/>
    </row>
    <row r="38" spans="2:7" ht="15" customHeight="1" x14ac:dyDescent="0.3">
      <c r="B38" s="55" t="s">
        <v>219</v>
      </c>
      <c r="D38" s="128">
        <f t="shared" ref="D38:D42" si="3">IF(E38="Strongly disagree",0,IF(E38="disagree",1,IF(E38="unclear",2,IF(E38="agree",3,4))))</f>
        <v>4</v>
      </c>
      <c r="E38" s="33" t="s">
        <v>211</v>
      </c>
      <c r="F38" s="6"/>
      <c r="G38" s="371"/>
    </row>
    <row r="39" spans="2:7" ht="15" customHeight="1" x14ac:dyDescent="0.3">
      <c r="B39" s="55" t="s">
        <v>220</v>
      </c>
      <c r="D39" s="128">
        <f t="shared" si="3"/>
        <v>3</v>
      </c>
      <c r="E39" s="33" t="s">
        <v>191</v>
      </c>
      <c r="F39" s="6"/>
      <c r="G39" s="371"/>
    </row>
    <row r="40" spans="2:7" ht="15" customHeight="1" x14ac:dyDescent="0.3">
      <c r="B40" s="55" t="s">
        <v>221</v>
      </c>
      <c r="D40" s="128">
        <f t="shared" si="3"/>
        <v>3</v>
      </c>
      <c r="E40" s="33" t="s">
        <v>191</v>
      </c>
      <c r="F40" s="6"/>
      <c r="G40" s="371"/>
    </row>
    <row r="41" spans="2:7" ht="15" customHeight="1" x14ac:dyDescent="0.3">
      <c r="B41" s="55" t="s">
        <v>222</v>
      </c>
      <c r="D41" s="128">
        <f t="shared" si="3"/>
        <v>2</v>
      </c>
      <c r="E41" s="33" t="s">
        <v>189</v>
      </c>
      <c r="F41" s="6"/>
      <c r="G41" s="371"/>
    </row>
    <row r="42" spans="2:7" ht="15" customHeight="1" x14ac:dyDescent="0.3">
      <c r="B42" s="55" t="s">
        <v>223</v>
      </c>
      <c r="D42" s="128">
        <f t="shared" si="3"/>
        <v>3</v>
      </c>
      <c r="E42" s="33" t="s">
        <v>191</v>
      </c>
      <c r="F42" s="6"/>
      <c r="G42" s="371"/>
    </row>
    <row r="43" spans="2:7" ht="15" customHeight="1" x14ac:dyDescent="0.3">
      <c r="B43" s="127" t="s">
        <v>224</v>
      </c>
      <c r="D43" s="40"/>
      <c r="E43" s="24"/>
      <c r="G43" s="371"/>
    </row>
    <row r="44" spans="2:7" ht="15" customHeight="1" x14ac:dyDescent="0.3">
      <c r="B44" s="1" t="s">
        <v>225</v>
      </c>
      <c r="D44" s="131">
        <f>SUM(D45:D50)/(6*4)</f>
        <v>0.66666666666666663</v>
      </c>
      <c r="E44" s="51" t="str">
        <f>IF(D44&gt;80%,"Very High",IF(D44&lt;=20%,"Very Low",IF(D44&lt;=40%,"Low",IF(D44&lt;=60%,"Medium","High"))))</f>
        <v>High</v>
      </c>
      <c r="F44" s="6"/>
      <c r="G44" s="371"/>
    </row>
    <row r="45" spans="2:7" ht="15" customHeight="1" x14ac:dyDescent="0.3">
      <c r="B45" s="55" t="s">
        <v>226</v>
      </c>
      <c r="D45" s="128">
        <f t="shared" ref="D45:D50" si="4">IF(E45="Strongly disagree",0,IF(E45="disagree",1,IF(E45="unclear",2,IF(E45="agree",3,4))))</f>
        <v>2</v>
      </c>
      <c r="E45" s="33" t="s">
        <v>189</v>
      </c>
      <c r="F45" s="6"/>
      <c r="G45" s="371"/>
    </row>
    <row r="46" spans="2:7" ht="15" customHeight="1" x14ac:dyDescent="0.3">
      <c r="B46" s="55" t="s">
        <v>228</v>
      </c>
      <c r="D46" s="128">
        <f t="shared" si="4"/>
        <v>4</v>
      </c>
      <c r="E46" s="33" t="s">
        <v>211</v>
      </c>
      <c r="F46" s="6"/>
      <c r="G46" s="371"/>
    </row>
    <row r="47" spans="2:7" ht="15" customHeight="1" x14ac:dyDescent="0.3">
      <c r="B47" s="55" t="s">
        <v>229</v>
      </c>
      <c r="D47" s="128">
        <f t="shared" si="4"/>
        <v>4</v>
      </c>
      <c r="E47" s="33" t="s">
        <v>211</v>
      </c>
      <c r="F47" s="6"/>
      <c r="G47" s="371"/>
    </row>
    <row r="48" spans="2:7" ht="15" customHeight="1" x14ac:dyDescent="0.3">
      <c r="B48" s="55" t="s">
        <v>230</v>
      </c>
      <c r="D48" s="128">
        <f t="shared" si="4"/>
        <v>0</v>
      </c>
      <c r="E48" s="33" t="s">
        <v>227</v>
      </c>
      <c r="F48" s="6"/>
      <c r="G48" s="371"/>
    </row>
    <row r="49" spans="2:7" ht="15" customHeight="1" x14ac:dyDescent="0.3">
      <c r="B49" s="55" t="s">
        <v>231</v>
      </c>
      <c r="D49" s="128">
        <f t="shared" si="4"/>
        <v>2</v>
      </c>
      <c r="E49" s="33" t="s">
        <v>189</v>
      </c>
      <c r="F49" s="6"/>
      <c r="G49" s="371"/>
    </row>
    <row r="50" spans="2:7" ht="15" customHeight="1" x14ac:dyDescent="0.3">
      <c r="B50" s="55" t="s">
        <v>276</v>
      </c>
      <c r="D50" s="128">
        <f t="shared" si="4"/>
        <v>4</v>
      </c>
      <c r="E50" s="33" t="s">
        <v>211</v>
      </c>
      <c r="G50" s="371"/>
    </row>
    <row r="51" spans="2:7" ht="15" customHeight="1" x14ac:dyDescent="0.3">
      <c r="B51" s="1" t="s">
        <v>232</v>
      </c>
      <c r="D51" s="131">
        <f>SUM(D52:D57)/(6*4)</f>
        <v>0</v>
      </c>
      <c r="E51" s="51" t="str">
        <f>IF(D51&gt;80%,"Very High",IF(D51&lt;=20%,"Very Low",IF(D51&lt;=40%,"Low",IF(D51&lt;=60%,"Medium","High"))))</f>
        <v>Very Low</v>
      </c>
      <c r="F51" s="6"/>
      <c r="G51" s="371"/>
    </row>
    <row r="52" spans="2:7" ht="15" customHeight="1" x14ac:dyDescent="0.3">
      <c r="B52" s="55" t="s">
        <v>233</v>
      </c>
      <c r="D52" s="128">
        <f t="shared" ref="D52:D57" si="5">IF(E52="Strongly disagree",0,IF(E52="disagree",1,IF(E52="unclear",2,IF(E52="agree",3,4))))</f>
        <v>0</v>
      </c>
      <c r="E52" s="33" t="s">
        <v>227</v>
      </c>
      <c r="F52" s="6"/>
      <c r="G52" s="371"/>
    </row>
    <row r="53" spans="2:7" ht="15" customHeight="1" x14ac:dyDescent="0.3">
      <c r="B53" s="55" t="s">
        <v>234</v>
      </c>
      <c r="D53" s="128">
        <f t="shared" si="5"/>
        <v>0</v>
      </c>
      <c r="E53" s="33" t="s">
        <v>227</v>
      </c>
      <c r="F53" s="6"/>
      <c r="G53" s="371"/>
    </row>
    <row r="54" spans="2:7" ht="15" customHeight="1" x14ac:dyDescent="0.3">
      <c r="B54" s="55" t="s">
        <v>235</v>
      </c>
      <c r="D54" s="128">
        <f t="shared" si="5"/>
        <v>0</v>
      </c>
      <c r="E54" s="33" t="s">
        <v>227</v>
      </c>
      <c r="F54" s="6"/>
      <c r="G54" s="371"/>
    </row>
    <row r="55" spans="2:7" ht="15" customHeight="1" x14ac:dyDescent="0.3">
      <c r="B55" s="55" t="s">
        <v>236</v>
      </c>
      <c r="D55" s="128">
        <f t="shared" si="5"/>
        <v>0</v>
      </c>
      <c r="E55" s="33" t="s">
        <v>227</v>
      </c>
      <c r="F55" s="6"/>
      <c r="G55" s="371"/>
    </row>
    <row r="56" spans="2:7" ht="15" customHeight="1" x14ac:dyDescent="0.3">
      <c r="B56" s="55" t="s">
        <v>237</v>
      </c>
      <c r="D56" s="128">
        <f t="shared" si="5"/>
        <v>0</v>
      </c>
      <c r="E56" s="33" t="s">
        <v>227</v>
      </c>
      <c r="F56" s="6"/>
      <c r="G56" s="371"/>
    </row>
    <row r="57" spans="2:7" ht="15" customHeight="1" x14ac:dyDescent="0.3">
      <c r="B57" s="55" t="s">
        <v>238</v>
      </c>
      <c r="D57" s="128">
        <f t="shared" si="5"/>
        <v>0</v>
      </c>
      <c r="E57" s="33" t="s">
        <v>227</v>
      </c>
      <c r="G57" s="371"/>
    </row>
    <row r="58" spans="2:7" ht="15" customHeight="1" x14ac:dyDescent="0.3">
      <c r="B58" s="1" t="s">
        <v>239</v>
      </c>
      <c r="D58" s="131">
        <f>SUM(D59:D64)/(6*4)</f>
        <v>0.5</v>
      </c>
      <c r="E58" s="51" t="str">
        <f>IF(D58&gt;80%,"Very High",IF(D58&lt;=20%,"Very Low",IF(D58&lt;=40%,"Low",IF(D58&lt;=60%,"Medium","High"))))</f>
        <v>Medium</v>
      </c>
      <c r="F58" s="6"/>
      <c r="G58" s="371"/>
    </row>
    <row r="59" spans="2:7" ht="15" customHeight="1" x14ac:dyDescent="0.3">
      <c r="B59" s="55" t="s">
        <v>240</v>
      </c>
      <c r="D59" s="128">
        <f t="shared" ref="D59:D64" si="6">IF(E59="Strongly disagree",0,IF(E59="disagree",1,IF(E59="unclear",2,IF(E59="agree",3,4))))</f>
        <v>1</v>
      </c>
      <c r="E59" s="33" t="s">
        <v>209</v>
      </c>
      <c r="F59" s="6"/>
      <c r="G59" s="371"/>
    </row>
    <row r="60" spans="2:7" ht="15" customHeight="1" x14ac:dyDescent="0.3">
      <c r="B60" s="55" t="s">
        <v>241</v>
      </c>
      <c r="D60" s="128">
        <f t="shared" si="6"/>
        <v>3</v>
      </c>
      <c r="E60" s="33" t="s">
        <v>191</v>
      </c>
      <c r="F60" s="6"/>
      <c r="G60" s="371"/>
    </row>
    <row r="61" spans="2:7" ht="15" customHeight="1" x14ac:dyDescent="0.3">
      <c r="B61" s="55" t="s">
        <v>242</v>
      </c>
      <c r="D61" s="128">
        <f t="shared" si="6"/>
        <v>4</v>
      </c>
      <c r="E61" s="33" t="s">
        <v>211</v>
      </c>
      <c r="F61" s="6"/>
      <c r="G61" s="371"/>
    </row>
    <row r="62" spans="2:7" ht="15" customHeight="1" x14ac:dyDescent="0.3">
      <c r="B62" s="55" t="s">
        <v>243</v>
      </c>
      <c r="D62" s="128">
        <f t="shared" si="6"/>
        <v>0</v>
      </c>
      <c r="E62" s="33" t="s">
        <v>227</v>
      </c>
      <c r="F62" s="6"/>
      <c r="G62" s="371"/>
    </row>
    <row r="63" spans="2:7" ht="15" customHeight="1" x14ac:dyDescent="0.3">
      <c r="B63" s="55" t="s">
        <v>244</v>
      </c>
      <c r="D63" s="128">
        <f t="shared" si="6"/>
        <v>4</v>
      </c>
      <c r="E63" s="33" t="s">
        <v>211</v>
      </c>
      <c r="F63" s="6"/>
      <c r="G63" s="371"/>
    </row>
    <row r="64" spans="2:7" ht="15" customHeight="1" x14ac:dyDescent="0.3">
      <c r="B64" s="55" t="s">
        <v>277</v>
      </c>
      <c r="D64" s="128">
        <f t="shared" si="6"/>
        <v>0</v>
      </c>
      <c r="E64" s="33" t="s">
        <v>227</v>
      </c>
      <c r="F64" s="6"/>
      <c r="G64" s="371"/>
    </row>
    <row r="65" spans="2:8" ht="15" customHeight="1" x14ac:dyDescent="0.3">
      <c r="B65" s="1" t="s">
        <v>245</v>
      </c>
      <c r="D65" s="131">
        <f>SUM(D66:D71)/(6*4)</f>
        <v>0.24773242630385486</v>
      </c>
      <c r="E65" s="51" t="str">
        <f>IF(D65&gt;80%,"Very High",IF(D65&lt;=20%,"Very Low",IF(D65&lt;=40%,"Low",IF(D65&lt;=60%,"Medium","High"))))</f>
        <v>Low</v>
      </c>
      <c r="F65" s="6"/>
      <c r="G65" s="371"/>
    </row>
    <row r="66" spans="2:8" ht="15" customHeight="1" x14ac:dyDescent="0.3">
      <c r="B66" s="55" t="s">
        <v>246</v>
      </c>
      <c r="D66" s="128">
        <f t="shared" ref="D66:D69" si="7">IF(E66="Strongly disagree",0,IF(E66="disagree",1,IF(E66="unclear",2,IF(E66="agree",3,4))))</f>
        <v>0</v>
      </c>
      <c r="E66" s="33" t="s">
        <v>227</v>
      </c>
      <c r="G66" s="371"/>
    </row>
    <row r="67" spans="2:8" ht="15" customHeight="1" x14ac:dyDescent="0.3">
      <c r="B67" s="55" t="s">
        <v>247</v>
      </c>
      <c r="D67" s="128">
        <f t="shared" si="7"/>
        <v>0</v>
      </c>
      <c r="E67" s="33" t="s">
        <v>227</v>
      </c>
      <c r="F67" s="6"/>
      <c r="G67" s="371"/>
    </row>
    <row r="68" spans="2:8" ht="15" customHeight="1" x14ac:dyDescent="0.3">
      <c r="B68" s="55" t="s">
        <v>248</v>
      </c>
      <c r="D68" s="128">
        <f t="shared" si="7"/>
        <v>0</v>
      </c>
      <c r="E68" s="33" t="s">
        <v>227</v>
      </c>
      <c r="F68" s="5"/>
      <c r="G68" s="371"/>
    </row>
    <row r="69" spans="2:8" ht="15" customHeight="1" x14ac:dyDescent="0.3">
      <c r="B69" s="55" t="s">
        <v>249</v>
      </c>
      <c r="D69" s="128">
        <f t="shared" si="7"/>
        <v>2</v>
      </c>
      <c r="E69" s="33" t="s">
        <v>189</v>
      </c>
      <c r="G69" s="371"/>
    </row>
    <row r="70" spans="2:8" ht="15" customHeight="1" x14ac:dyDescent="0.3">
      <c r="B70" s="55" t="s">
        <v>250</v>
      </c>
      <c r="D70" s="128">
        <f>IF(E70="Strongly disagree",0,IF(E70="disagree",1,IF(E70="unclear",2,IF(E70="agree",3,4))))</f>
        <v>2</v>
      </c>
      <c r="E70" s="33" t="s">
        <v>189</v>
      </c>
      <c r="F70" s="55"/>
      <c r="G70" s="371"/>
      <c r="H70" s="55"/>
    </row>
    <row r="71" spans="2:8" ht="15" customHeight="1" x14ac:dyDescent="0.3">
      <c r="B71" s="55" t="s">
        <v>251</v>
      </c>
      <c r="D71" s="132">
        <f t="array" ref="D71">(1-INDEX(B85:E94,MATCH(E71,B85:B94,0),4))*4</f>
        <v>1.9455782312925169</v>
      </c>
      <c r="E71" s="33" t="s">
        <v>252</v>
      </c>
      <c r="F71" s="55"/>
      <c r="G71" s="371"/>
      <c r="H71" s="55"/>
    </row>
    <row r="72" spans="2:8" ht="15" customHeight="1" x14ac:dyDescent="0.3">
      <c r="B72" s="1" t="s">
        <v>253</v>
      </c>
      <c r="D72" s="133">
        <f>SUM(D73:D78)/(6*4)</f>
        <v>0.66666666666666663</v>
      </c>
      <c r="E72" s="51" t="str">
        <f>IF(D72&gt;80%,"Very High",IF(D72&lt;=20%,"Very Low",IF(D72&lt;=40%,"Low",IF(D72&lt;=60%,"Medium","High"))))</f>
        <v>High</v>
      </c>
      <c r="F72" s="55"/>
      <c r="G72" s="371"/>
      <c r="H72" s="55"/>
    </row>
    <row r="73" spans="2:8" ht="15" customHeight="1" x14ac:dyDescent="0.3">
      <c r="B73" s="55" t="s">
        <v>254</v>
      </c>
      <c r="D73" s="128">
        <f t="shared" ref="D73:D77" si="8">IF(E73="Strongly disagree",0,IF(E73="disagree",1,IF(E73="unclear",2,IF(E73="agree",3,4))))</f>
        <v>3</v>
      </c>
      <c r="E73" s="33" t="s">
        <v>191</v>
      </c>
      <c r="F73" s="55"/>
      <c r="G73" s="371"/>
      <c r="H73" s="55"/>
    </row>
    <row r="74" spans="2:8" ht="15" customHeight="1" x14ac:dyDescent="0.3">
      <c r="B74" s="55" t="s">
        <v>255</v>
      </c>
      <c r="D74" s="128">
        <f t="shared" si="8"/>
        <v>3</v>
      </c>
      <c r="E74" s="33" t="s">
        <v>191</v>
      </c>
      <c r="F74" s="55"/>
      <c r="G74" s="371"/>
      <c r="H74" s="55"/>
    </row>
    <row r="75" spans="2:8" ht="15" customHeight="1" x14ac:dyDescent="0.3">
      <c r="B75" s="55" t="s">
        <v>278</v>
      </c>
      <c r="D75" s="128">
        <f t="shared" si="8"/>
        <v>3</v>
      </c>
      <c r="E75" s="33" t="s">
        <v>191</v>
      </c>
      <c r="F75" s="55"/>
      <c r="G75" s="371"/>
      <c r="H75" s="55"/>
    </row>
    <row r="76" spans="2:8" ht="15" customHeight="1" x14ac:dyDescent="0.3">
      <c r="B76" s="55" t="s">
        <v>279</v>
      </c>
      <c r="D76" s="128">
        <f t="shared" si="8"/>
        <v>4</v>
      </c>
      <c r="E76" s="33" t="s">
        <v>211</v>
      </c>
      <c r="F76" s="55"/>
      <c r="G76" s="371"/>
      <c r="H76" s="55"/>
    </row>
    <row r="77" spans="2:8" ht="15" customHeight="1" x14ac:dyDescent="0.3">
      <c r="B77" s="55" t="s">
        <v>280</v>
      </c>
      <c r="D77" s="128">
        <f t="shared" si="8"/>
        <v>3</v>
      </c>
      <c r="E77" s="33" t="s">
        <v>191</v>
      </c>
      <c r="F77" s="55"/>
      <c r="G77" s="371"/>
      <c r="H77" s="55"/>
    </row>
    <row r="78" spans="2:8" ht="15" customHeight="1" x14ac:dyDescent="0.3">
      <c r="B78" s="55" t="s">
        <v>281</v>
      </c>
      <c r="D78" s="128">
        <f>IF(E78="Strongly disagree",0,IF(E78="disagree",1,IF(E78="non-perishable",2,IF(E78="agree",3,4))))</f>
        <v>0</v>
      </c>
      <c r="E78" s="33" t="s">
        <v>227</v>
      </c>
      <c r="F78" s="55"/>
      <c r="G78" s="371"/>
      <c r="H78" s="55"/>
    </row>
    <row r="79" spans="2:8" ht="15" customHeight="1" x14ac:dyDescent="0.3">
      <c r="B79" s="175" t="s">
        <v>256</v>
      </c>
      <c r="D79" s="155">
        <f>1-AVERAGE(D44,D51,D58,D65,D72)</f>
        <v>0.58378684807256243</v>
      </c>
      <c r="E79" s="51" t="str">
        <f>IF(D79&gt;80%,"Very Low",IF(D79&lt;=20%,"Very High",IF(D79&lt;=40%,"High",IF(D79&lt;=60%,"Medium","Low"))))</f>
        <v>Medium</v>
      </c>
      <c r="F79" s="55"/>
      <c r="G79" s="371"/>
      <c r="H79" s="55"/>
    </row>
    <row r="80" spans="2:8" ht="15" customHeight="1" x14ac:dyDescent="0.3">
      <c r="D80" s="6"/>
      <c r="G80" s="371"/>
    </row>
    <row r="81" spans="2:7" ht="15" customHeight="1" x14ac:dyDescent="0.3">
      <c r="B81" s="125" t="s">
        <v>257</v>
      </c>
      <c r="D81" s="121">
        <f>E81*4</f>
        <v>2.0337868480725625</v>
      </c>
      <c r="E81" s="154">
        <f>AVERAGE(AVERAGE(D26:D30)/4,AVERAGE(D32:D36)/4,AVERAGE(D38:D42)/4,D79)</f>
        <v>0.50844671201814062</v>
      </c>
      <c r="G81" s="371"/>
    </row>
    <row r="82" spans="2:7" ht="15" customHeight="1" x14ac:dyDescent="0.3">
      <c r="G82" s="372"/>
    </row>
    <row r="83" spans="2:7" ht="15" customHeight="1" x14ac:dyDescent="0.3">
      <c r="B83" s="56" t="s">
        <v>258</v>
      </c>
      <c r="C83" s="7"/>
      <c r="D83" s="7"/>
      <c r="E83" s="58"/>
    </row>
    <row r="84" spans="2:7" ht="15" customHeight="1" x14ac:dyDescent="0.3">
      <c r="B84" s="134" t="s">
        <v>259</v>
      </c>
      <c r="C84" s="135"/>
      <c r="D84" s="135"/>
      <c r="E84" s="136"/>
    </row>
    <row r="85" spans="2:7" ht="15" customHeight="1" x14ac:dyDescent="0.3">
      <c r="B85" s="137" t="s">
        <v>260</v>
      </c>
      <c r="C85" s="135"/>
      <c r="D85" s="135">
        <v>1</v>
      </c>
      <c r="E85" s="138">
        <f t="shared" ref="E85:E93" si="9">D85/MAX($D$85:$D$94)</f>
        <v>3.4013605442176874E-2</v>
      </c>
    </row>
    <row r="86" spans="2:7" ht="15" customHeight="1" x14ac:dyDescent="0.3">
      <c r="B86" s="137" t="str">
        <f t="shared" ref="B86:B94" si="10">C86&amp;", "&amp;D86&amp;"y"</f>
        <v>Information Technology Like, 6.6y</v>
      </c>
      <c r="C86" s="135" t="s">
        <v>261</v>
      </c>
      <c r="D86" s="135">
        <v>6.6</v>
      </c>
      <c r="E86" s="138">
        <f t="shared" si="9"/>
        <v>0.22448979591836735</v>
      </c>
    </row>
    <row r="87" spans="2:7" ht="15" customHeight="1" x14ac:dyDescent="0.3">
      <c r="B87" s="137" t="str">
        <f t="shared" si="10"/>
        <v>Healthcare, 11.4y</v>
      </c>
      <c r="C87" s="135" t="s">
        <v>262</v>
      </c>
      <c r="D87" s="135">
        <v>11.4</v>
      </c>
      <c r="E87" s="138">
        <f t="shared" si="9"/>
        <v>0.38775510204081637</v>
      </c>
    </row>
    <row r="88" spans="2:7" ht="15" customHeight="1" x14ac:dyDescent="0.3">
      <c r="B88" s="137" t="str">
        <f t="shared" si="10"/>
        <v>Consumer Discretionary, 12.4y</v>
      </c>
      <c r="C88" s="135" t="s">
        <v>263</v>
      </c>
      <c r="D88" s="135">
        <v>12.4</v>
      </c>
      <c r="E88" s="138">
        <f t="shared" si="9"/>
        <v>0.42176870748299322</v>
      </c>
    </row>
    <row r="89" spans="2:7" ht="15" customHeight="1" x14ac:dyDescent="0.3">
      <c r="B89" s="137" t="str">
        <f t="shared" si="10"/>
        <v>Consumer Staples, 15.1y</v>
      </c>
      <c r="C89" s="135" t="s">
        <v>264</v>
      </c>
      <c r="D89" s="135">
        <v>15.1</v>
      </c>
      <c r="E89" s="138">
        <f t="shared" si="9"/>
        <v>0.51360544217687076</v>
      </c>
    </row>
    <row r="90" spans="2:7" ht="15" customHeight="1" x14ac:dyDescent="0.3">
      <c r="B90" s="137" t="str">
        <f t="shared" si="10"/>
        <v>Industrials, 15.4y</v>
      </c>
      <c r="C90" s="135" t="s">
        <v>265</v>
      </c>
      <c r="D90" s="135">
        <v>15.4</v>
      </c>
      <c r="E90" s="138">
        <f t="shared" si="9"/>
        <v>0.52380952380952384</v>
      </c>
    </row>
    <row r="91" spans="2:7" ht="15" customHeight="1" x14ac:dyDescent="0.3">
      <c r="B91" s="137" t="str">
        <f t="shared" si="10"/>
        <v>Telecommunication Services, 16.1y</v>
      </c>
      <c r="C91" s="135" t="s">
        <v>266</v>
      </c>
      <c r="D91" s="135">
        <v>16.100000000000001</v>
      </c>
      <c r="E91" s="138">
        <f t="shared" si="9"/>
        <v>0.54761904761904767</v>
      </c>
    </row>
    <row r="92" spans="2:7" ht="15" customHeight="1" x14ac:dyDescent="0.3">
      <c r="B92" s="137" t="str">
        <f t="shared" si="10"/>
        <v>Energy, 17.6y</v>
      </c>
      <c r="C92" s="135" t="s">
        <v>267</v>
      </c>
      <c r="D92" s="135">
        <v>17.600000000000001</v>
      </c>
      <c r="E92" s="138">
        <f t="shared" si="9"/>
        <v>0.59863945578231303</v>
      </c>
    </row>
    <row r="93" spans="2:7" ht="15" customHeight="1" x14ac:dyDescent="0.3">
      <c r="B93" s="137" t="str">
        <f t="shared" si="10"/>
        <v>Materials, 18.6y</v>
      </c>
      <c r="C93" s="135" t="s">
        <v>268</v>
      </c>
      <c r="D93" s="135">
        <v>18.600000000000001</v>
      </c>
      <c r="E93" s="138">
        <f t="shared" si="9"/>
        <v>0.63265306122448983</v>
      </c>
    </row>
    <row r="94" spans="2:7" ht="15" customHeight="1" x14ac:dyDescent="0.3">
      <c r="B94" s="139" t="str">
        <f t="shared" si="10"/>
        <v>Utilities, 29.4y</v>
      </c>
      <c r="C94" s="140" t="s">
        <v>269</v>
      </c>
      <c r="D94" s="140">
        <v>29.4</v>
      </c>
      <c r="E94" s="141">
        <f>D94/MAX($D$86:$D$94)</f>
        <v>1</v>
      </c>
    </row>
  </sheetData>
  <dataConsolidate/>
  <dataValidations count="9">
    <dataValidation type="list" allowBlank="1" sqref="E44 E51 E58 E65 E72" xr:uid="{00000000-0002-0000-0400-000003000000}">
      <formula1>"Very High,High,Medium,Low,Very Low"</formula1>
    </dataValidation>
    <dataValidation type="list" allowBlank="1" sqref="E4:E7 E33:E36 E38:E42 E52:E57 E27:E30 E10 E45:E50 E66:E70 E59:E64 E73:E77" xr:uid="{00000000-0002-0000-0400-000005000000}">
      <formula1>"Strongly agree,agree,unclear,disagree,Strongly disagree"</formula1>
    </dataValidation>
    <dataValidation type="list" allowBlank="1" sqref="E78" xr:uid="{00000000-0002-0000-0400-000009000000}">
      <formula1>"Strongly agree,agree,non-perishable,disagree,Strongly disagree"</formula1>
    </dataValidation>
    <dataValidation allowBlank="1" sqref="E26 E11:E12" xr:uid="{FBCCA791-86B6-4660-95B3-845402529B68}"/>
    <dataValidation type="list" allowBlank="1" showInputMessage="1" showErrorMessage="1" sqref="E71" xr:uid="{B3C242EB-7F6A-4B7F-83D0-5CE118336997}">
      <formula1>B85:B94</formula1>
    </dataValidation>
    <dataValidation type="list" allowBlank="1" sqref="E16" xr:uid="{00879E06-D1C6-4C7D-A498-33F03425939D}">
      <formula1>"(+) Healthy/Increasing CFO, (-) Low/Decreasing CFO"</formula1>
    </dataValidation>
    <dataValidation type="list" allowBlank="1" sqref="E17" xr:uid="{9ED192E6-28C4-4D51-A598-11CB45566EF9}">
      <formula1>"(+) High/Increasing CFI, (-) Low/Decreasing CFI"</formula1>
    </dataValidation>
    <dataValidation type="list" allowBlank="1" sqref="E18" xr:uid="{75670AFC-9391-474D-B260-21AA7EF2CDC8}">
      <formula1>"(+) High/Increasing CFF, (-) Low/Decreasing CFF"</formula1>
    </dataValidation>
    <dataValidation type="list" allowBlank="1" sqref="E71" xr:uid="{169E40E7-6BB6-45A2-B725-216376F63A8D}">
      <formula1>$B$85:$B$94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2023-02-24T05:37:52Z</dcterms:modified>
  <cp:category/>
  <cp:contentStatus/>
</cp:coreProperties>
</file>