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0042024E-27DF-4FC4-BB2F-A7EB8725C4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26" i="1" l="1"/>
  <c r="E7" i="3"/>
  <c r="E6" i="1"/>
  <c r="C35" i="1"/>
  <c r="B18" i="1" s="1"/>
  <c r="I5" i="7"/>
  <c r="G4" i="7"/>
  <c r="G10" i="7" s="1"/>
  <c r="G11" i="7"/>
  <c r="D6" i="4"/>
  <c r="E6" i="4" s="1"/>
  <c r="F6" i="4" s="1"/>
  <c r="C18" i="7"/>
  <c r="C11" i="2" s="1"/>
  <c r="E7" i="7"/>
  <c r="F7" i="7" s="1"/>
  <c r="E6" i="7"/>
  <c r="I6" i="7" s="1"/>
  <c r="E5" i="7"/>
  <c r="G5" i="7" s="1"/>
  <c r="E4" i="7"/>
  <c r="D11" i="7"/>
  <c r="F11" i="7" s="1"/>
  <c r="D12" i="7"/>
  <c r="F12" i="7" s="1"/>
  <c r="H12" i="7" s="1"/>
  <c r="D13" i="7"/>
  <c r="F13" i="7" s="1"/>
  <c r="D10" i="7"/>
  <c r="F10" i="7" s="1"/>
  <c r="E10" i="7" s="1"/>
  <c r="C8" i="7"/>
  <c r="J7" i="7" s="1"/>
  <c r="C14" i="7"/>
  <c r="E13" i="7" l="1"/>
  <c r="G7" i="7"/>
  <c r="H7" i="7" s="1"/>
  <c r="D7" i="7"/>
  <c r="J5" i="7"/>
  <c r="D6" i="7"/>
  <c r="G13" i="7"/>
  <c r="H4" i="7"/>
  <c r="E8" i="7"/>
  <c r="H11" i="7"/>
  <c r="H5" i="7"/>
  <c r="J6" i="7"/>
  <c r="I12" i="7"/>
  <c r="D5" i="7"/>
  <c r="F5" i="7"/>
  <c r="E12" i="7"/>
  <c r="G6" i="7"/>
  <c r="G8" i="7" s="1"/>
  <c r="D4" i="7"/>
  <c r="F4" i="7"/>
  <c r="E11" i="7"/>
  <c r="I11" i="7" s="1"/>
  <c r="I4" i="7"/>
  <c r="F6" i="7"/>
  <c r="I8" i="7" l="1"/>
  <c r="I10" i="7"/>
  <c r="J4" i="7"/>
  <c r="G12" i="7"/>
  <c r="G14" i="7" s="1"/>
  <c r="G15" i="7" s="1"/>
  <c r="H6" i="7"/>
  <c r="I9" i="7" l="1"/>
  <c r="I18" i="7"/>
  <c r="I14" i="7"/>
  <c r="I15" i="7" s="1"/>
  <c r="D65" i="3" l="1"/>
  <c r="I11" i="3"/>
  <c r="C40" i="3"/>
  <c r="C38" i="3"/>
  <c r="C36" i="3"/>
  <c r="C17" i="3"/>
  <c r="C30" i="3"/>
  <c r="C32" i="3"/>
  <c r="C18" i="3"/>
  <c r="C22" i="3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D12" i="4"/>
  <c r="G33" i="4"/>
  <c r="D20" i="2" l="1"/>
  <c r="E20" i="2"/>
  <c r="F20" i="2"/>
  <c r="G20" i="2"/>
  <c r="H20" i="2"/>
  <c r="I20" i="2"/>
  <c r="J20" i="2"/>
  <c r="K20" i="2"/>
  <c r="L20" i="2"/>
  <c r="M20" i="2"/>
  <c r="C20" i="2"/>
  <c r="G16" i="3" l="1"/>
  <c r="G18" i="7" l="1"/>
  <c r="G9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4" i="3" l="1"/>
  <c r="D4" i="3"/>
  <c r="D6" i="1"/>
  <c r="E9" i="3"/>
  <c r="C3" i="7" l="1"/>
  <c r="C28" i="4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5" i="7"/>
  <c r="C17" i="7"/>
  <c r="E17" i="7" s="1"/>
  <c r="E18" i="7" s="1"/>
  <c r="B3" i="7"/>
  <c r="C16" i="7"/>
  <c r="C21" i="7" s="1"/>
  <c r="E9" i="7"/>
  <c r="C24" i="7" l="1"/>
  <c r="C14" i="2"/>
  <c r="I32" i="3"/>
  <c r="C19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C4" i="4" l="1"/>
  <c r="C7" i="4" s="1"/>
  <c r="C8" i="4" s="1"/>
  <c r="C9" i="4" s="1"/>
  <c r="C10" i="4" s="1"/>
  <c r="C16" i="2"/>
  <c r="C23" i="7"/>
  <c r="G16" i="7"/>
  <c r="G21" i="7" s="1"/>
  <c r="D52" i="3"/>
  <c r="C20" i="4" s="1"/>
  <c r="D20" i="4" s="1"/>
  <c r="I53" i="3"/>
  <c r="C7" i="1"/>
  <c r="C44" i="3"/>
  <c r="C25" i="3"/>
  <c r="I7" i="3" s="1"/>
  <c r="G19" i="7" l="1"/>
  <c r="C45" i="3"/>
  <c r="E12" i="3"/>
  <c r="D53" i="5" l="1"/>
  <c r="E35" i="3" l="1"/>
  <c r="D43" i="2" l="1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E45" i="3"/>
  <c r="D45" i="3" s="1"/>
  <c r="I44" i="3"/>
  <c r="C26" i="4"/>
  <c r="D25" i="3"/>
  <c r="E45" i="2"/>
  <c r="E35" i="2"/>
  <c r="D45" i="2"/>
  <c r="D35" i="2"/>
  <c r="I25" i="3"/>
  <c r="J25" i="3" s="1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J26" i="3" s="1"/>
  <c r="D18" i="5" s="1"/>
  <c r="C21" i="4" l="1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G13" i="4"/>
  <c r="J18" i="1" l="1"/>
  <c r="F18" i="1"/>
  <c r="C11" i="1" l="1"/>
  <c r="D12" i="5" l="1"/>
  <c r="D5" i="5" l="1"/>
  <c r="E5" i="5" l="1"/>
  <c r="E6" i="5"/>
  <c r="E18" i="5"/>
  <c r="E64" i="5"/>
  <c r="D64" i="5" s="1"/>
  <c r="E7" i="5" s="1"/>
  <c r="D7" i="5" s="1"/>
  <c r="D8" i="5" s="1"/>
  <c r="E8" i="5" s="1"/>
  <c r="E14" i="7"/>
  <c r="E16" i="7" l="1"/>
  <c r="E21" i="7" s="1"/>
  <c r="E15" i="7"/>
  <c r="G20" i="7"/>
  <c r="E20" i="7"/>
  <c r="E22" i="7"/>
  <c r="G22" i="7" s="1"/>
  <c r="E19" i="7"/>
  <c r="E24" i="7" l="1"/>
  <c r="E23" i="7" s="1"/>
  <c r="G24" i="7"/>
  <c r="G23" i="7" s="1"/>
  <c r="D4" i="4"/>
  <c r="E4" i="4" l="1"/>
  <c r="D5" i="4"/>
  <c r="D14" i="4"/>
  <c r="D7" i="4"/>
  <c r="D8" i="4" s="1"/>
  <c r="D9" i="4" s="1"/>
  <c r="D15" i="4" l="1"/>
  <c r="D10" i="4"/>
  <c r="E13" i="4"/>
  <c r="E14" i="4" s="1"/>
  <c r="E7" i="4"/>
  <c r="E8" i="4" s="1"/>
  <c r="E9" i="4" s="1"/>
  <c r="E5" i="4"/>
  <c r="E15" i="4" l="1"/>
  <c r="I16" i="7"/>
  <c r="I21" i="7" s="1"/>
  <c r="I19" i="7" l="1"/>
  <c r="I20" i="7"/>
  <c r="I3" i="7" s="1"/>
  <c r="F3" i="4" s="1"/>
  <c r="G4" i="4" s="1"/>
  <c r="B24" i="4" s="1"/>
  <c r="G2" i="4" s="1"/>
  <c r="I22" i="7"/>
  <c r="I24" i="7" s="1"/>
  <c r="I23" i="7" l="1"/>
  <c r="F4" i="4"/>
  <c r="F7" i="4" s="1"/>
  <c r="F8" i="4" l="1"/>
  <c r="F9" i="4" s="1"/>
  <c r="F13" i="4"/>
  <c r="F14" i="4" s="1"/>
  <c r="G14" i="4" s="1"/>
  <c r="F5" i="4"/>
  <c r="G8" i="4" l="1"/>
  <c r="G9" i="4" s="1"/>
  <c r="F15" i="4"/>
  <c r="F25" i="4" s="1"/>
  <c r="G12" i="4" l="1"/>
  <c r="E26" i="4"/>
  <c r="G26" i="4" s="1"/>
  <c r="E29" i="4" s="1"/>
  <c r="E25" i="4"/>
  <c r="G25" i="4" s="1"/>
  <c r="C29" i="4" s="1"/>
  <c r="D14" i="1" l="1"/>
  <c r="F14" i="1"/>
  <c r="D29" i="4"/>
  <c r="C32" i="4"/>
  <c r="C33" i="4"/>
  <c r="I35" i="1" s="1"/>
  <c r="I36" i="1" s="1"/>
  <c r="G15" i="4"/>
  <c r="E33" i="4" l="1"/>
  <c r="F33" i="4"/>
  <c r="F32" i="4"/>
  <c r="H14" i="1"/>
  <c r="J25" i="1" s="1"/>
  <c r="E32" i="4"/>
  <c r="B17" i="1" l="1"/>
  <c r="D18" i="1"/>
  <c r="D16" i="1"/>
  <c r="D17" i="1" l="1"/>
  <c r="F17" i="1"/>
  <c r="J17" i="1"/>
</calcChain>
</file>

<file path=xl/sharedStrings.xml><?xml version="1.0" encoding="utf-8"?>
<sst xmlns="http://schemas.openxmlformats.org/spreadsheetml/2006/main" count="394" uniqueCount="329">
  <si>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</si>
  <si>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</si>
  <si>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</si>
  <si>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</si>
  <si>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</si>
  <si>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</si>
  <si>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</si>
  <si>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</si>
  <si>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</si>
  <si>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</si>
  <si>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</si>
  <si>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</si>
  <si>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</si>
  <si>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</si>
  <si>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</si>
  <si>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</si>
  <si>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</si>
  <si>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</si>
  <si>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</si>
  <si>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</si>
  <si>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</si>
  <si>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</si>
  <si>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</si>
  <si>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</si>
  <si>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</si>
  <si>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</si>
  <si>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</si>
  <si>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</si>
  <si>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</si>
  <si>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</si>
  <si>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</si>
  <si>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</si>
  <si>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</si>
  <si>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</si>
  <si>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</si>
  <si>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</si>
  <si>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</si>
  <si>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</si>
  <si>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</si>
  <si>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</si>
  <si>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</si>
  <si>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</si>
  <si>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</si>
  <si>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</si>
  <si>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</si>
  <si>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</si>
  <si>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</si>
  <si>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</si>
  <si>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</si>
  <si>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</si>
  <si>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</si>
  <si>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</si>
  <si>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</si>
  <si>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</si>
  <si>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</si>
  <si>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</si>
  <si>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</si>
  <si>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</si>
  <si>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</si>
  <si>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</si>
  <si>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</si>
  <si>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</si>
  <si>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</si>
  <si>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</si>
  <si>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</si>
  <si>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</si>
  <si>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</si>
  <si>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</si>
  <si>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</si>
  <si>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</si>
  <si>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</si>
  <si>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</si>
  <si>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</si>
  <si>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</si>
  <si>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</si>
  <si>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</si>
  <si>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</si>
  <si>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</si>
  <si>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</si>
  <si>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</si>
  <si>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</si>
  <si>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</si>
  <si>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</si>
  <si>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</si>
  <si>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</si>
  <si>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</si>
  <si>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</si>
  <si>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</si>
  <si>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</si>
  <si>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</si>
  <si>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</si>
  <si>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</si>
  <si>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</si>
  <si>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</si>
  <si>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</si>
  <si>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</si>
  <si>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</si>
  <si>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</si>
  <si>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</si>
  <si>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</si>
  <si>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</si>
  <si>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</si>
  <si>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</si>
  <si>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</si>
  <si>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</si>
  <si>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</si>
  <si>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</si>
  <si>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</si>
  <si>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</si>
  <si>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</si>
  <si>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</si>
  <si>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</si>
  <si>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</si>
  <si>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</si>
  <si>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</si>
  <si>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</si>
  <si>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</si>
  <si>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</si>
  <si>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</si>
  <si>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</si>
  <si>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</si>
  <si>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</si>
  <si>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</si>
  <si>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</si>
  <si>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</si>
  <si>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</si>
  <si>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</si>
  <si>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</si>
  <si>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</si>
  <si>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</si>
  <si>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</si>
  <si>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</si>
  <si>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</si>
  <si>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</si>
  <si>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</si>
  <si>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</si>
  <si>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</si>
  <si>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</si>
  <si>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</si>
  <si>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</si>
  <si>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</si>
  <si>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</si>
  <si>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</si>
  <si>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</si>
  <si>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</si>
  <si>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</si>
  <si>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</si>
  <si>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</si>
  <si>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</si>
  <si>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</si>
  <si>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</si>
  <si>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</si>
  <si>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</si>
  <si>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</si>
  <si>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</si>
  <si>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</si>
  <si>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</si>
  <si>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</si>
  <si>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</si>
  <si>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</si>
  <si>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</si>
  <si>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</si>
  <si>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</si>
  <si>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</si>
  <si>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</si>
  <si>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</si>
  <si>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</si>
  <si>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</si>
  <si>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</si>
  <si>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</si>
  <si>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</si>
  <si>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</si>
  <si>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</si>
  <si>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</si>
  <si>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</si>
  <si>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</si>
  <si>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</si>
  <si>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</si>
  <si>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</si>
  <si>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</si>
  <si>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</si>
  <si>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</si>
  <si>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</si>
  <si>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</si>
  <si>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</si>
  <si>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</si>
  <si>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</si>
  <si>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</si>
  <si>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</si>
  <si>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</si>
  <si>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</si>
  <si>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</si>
  <si>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</si>
  <si>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</si>
  <si>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</si>
  <si>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</si>
  <si>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</si>
  <si>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</si>
  <si>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</si>
  <si>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</si>
  <si>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</si>
  <si>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</si>
  <si>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</si>
  <si>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</si>
  <si>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</si>
  <si>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</si>
  <si>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</si>
  <si>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</si>
  <si>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</si>
  <si>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</si>
  <si>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</si>
  <si>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</si>
  <si>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</si>
  <si>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</si>
  <si>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</si>
  <si>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</si>
  <si>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</si>
  <si>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</si>
  <si>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</si>
  <si>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</si>
  <si>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</si>
  <si>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</si>
  <si>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</si>
  <si>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</si>
  <si>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</si>
  <si>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</si>
  <si>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</si>
  <si>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</si>
  <si>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</si>
  <si>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</si>
  <si>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</si>
  <si>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</si>
  <si>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</si>
  <si>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</si>
  <si>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</si>
  <si>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</si>
  <si>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</si>
  <si>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</si>
  <si>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</si>
  <si>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</si>
  <si>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</si>
  <si>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</si>
  <si>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</si>
  <si>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</si>
  <si>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</si>
  <si>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</si>
  <si>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</si>
  <si>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</si>
  <si>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</si>
  <si>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</si>
  <si>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</si>
  <si>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</si>
  <si>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</si>
  <si>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</si>
  <si>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</si>
  <si>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</si>
  <si>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</si>
  <si>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</si>
  <si>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</si>
  <si>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</si>
  <si>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</si>
  <si>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</si>
  <si>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</si>
  <si>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</si>
  <si>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</si>
  <si>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</si>
  <si>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</si>
  <si>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</si>
  <si>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</si>
  <si>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</si>
  <si>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</si>
  <si>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</si>
  <si>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</si>
  <si>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</si>
  <si>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</si>
  <si>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</si>
  <si>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</si>
  <si>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</si>
  <si>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</si>
  <si>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</si>
  <si>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</si>
  <si>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</si>
  <si>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</si>
  <si>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</si>
  <si>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</si>
  <si>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</si>
  <si>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</si>
  <si>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</si>
  <si>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</si>
  <si>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</si>
  <si>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</si>
  <si>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</si>
  <si>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</si>
  <si>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</si>
  <si>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</si>
  <si>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</si>
  <si>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</si>
  <si>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</si>
  <si>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</si>
  <si>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</si>
  <si>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</si>
  <si>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1766.HK</t>
  </si>
  <si>
    <t>CRRC</t>
  </si>
  <si>
    <t>CNY</t>
  </si>
  <si>
    <t>PV of Value Inflow</t>
  </si>
  <si>
    <t>Biological assets</t>
  </si>
  <si>
    <t>PP&amp;E &amp; related assets</t>
  </si>
  <si>
    <t>Slow Growers</t>
  </si>
  <si>
    <t>ST Monetary Asset</t>
  </si>
  <si>
    <t>1. Is the company's balance sheet strong? (Measured by Liquidity)</t>
  </si>
  <si>
    <t>軌道交通裝備及其延伸產品和服務</t>
  </si>
  <si>
    <t>鐵路裝備</t>
  </si>
  <si>
    <t>城軌與城市基礎設施</t>
  </si>
  <si>
    <t>新產業</t>
  </si>
  <si>
    <t>現代服務</t>
  </si>
  <si>
    <t>Yes</t>
  </si>
  <si>
    <t>NOPAT margin</t>
  </si>
  <si>
    <t>The company has good disclosure on the revenue and cogs</t>
  </si>
  <si>
    <t>State-owned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</si>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</sst>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4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6" zoomScaleNormal="100" workbookViewId="0">
      <selection activeCell="G36" sqref="G36:J3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1766.HK : CRRC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59" t="s">
        <v>301</v>
      </c>
      <c r="D3" s="360"/>
      <c r="E3" s="15"/>
      <c r="G3" s="7" t="s">
        <v>2</v>
      </c>
      <c r="I3" s="371" t="s">
        <v>3</v>
      </c>
      <c r="J3" s="372"/>
    </row>
    <row r="4" spans="1:12" ht="15.75" customHeight="1" x14ac:dyDescent="0.3">
      <c r="B4" s="5" t="s">
        <v>4</v>
      </c>
      <c r="C4" s="361" t="s">
        <v>302</v>
      </c>
      <c r="D4" s="362"/>
      <c r="E4" s="6"/>
      <c r="G4" s="5" t="s">
        <v>5</v>
      </c>
      <c r="I4" s="32">
        <v>4.1500000000000004</v>
      </c>
      <c r="J4" s="33" t="s">
        <v>6</v>
      </c>
      <c r="K4" s="152"/>
    </row>
    <row r="5" spans="1:12" ht="15.75" customHeight="1" x14ac:dyDescent="0.3">
      <c r="B5" s="5" t="s">
        <v>7</v>
      </c>
      <c r="C5" s="363">
        <v>43647</v>
      </c>
      <c r="D5" s="362"/>
      <c r="E5" s="122" t="str">
        <f ca="1">IF(C5+30&gt;=TODAY(),"Patience Premium","")</f>
        <v/>
      </c>
      <c r="G5" s="5" t="s">
        <v>8</v>
      </c>
      <c r="I5" s="373">
        <v>28698864088</v>
      </c>
      <c r="J5" s="374"/>
      <c r="K5" s="151"/>
      <c r="L5" s="85"/>
    </row>
    <row r="6" spans="1:12" ht="15.75" customHeight="1" x14ac:dyDescent="0.3">
      <c r="B6" s="12" t="s">
        <v>254</v>
      </c>
      <c r="C6" s="269">
        <v>8</v>
      </c>
      <c r="D6" s="270">
        <f>EOMONTH(EDATE(Asset_Model!D9,C6),0)</f>
        <v>45077</v>
      </c>
      <c r="E6" s="353">
        <f>Data!C3</f>
        <v>44561</v>
      </c>
      <c r="G6" s="134" t="s">
        <v>9</v>
      </c>
      <c r="H6" s="133"/>
      <c r="I6" s="375">
        <f>I4*I5/1000000</f>
        <v>119100.28596520002</v>
      </c>
      <c r="J6" s="376"/>
      <c r="K6" s="151"/>
    </row>
    <row r="7" spans="1:12" ht="15.75" customHeight="1" x14ac:dyDescent="0.3">
      <c r="B7" s="139" t="s">
        <v>10</v>
      </c>
      <c r="C7" s="145">
        <f>(Data!C39)/I4</f>
        <v>5.0066034280910943E-2</v>
      </c>
      <c r="D7" s="145">
        <f>(Data!C40)/I4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10.13644735669252</v>
      </c>
      <c r="J9" s="48">
        <f>IF(I9="NNI","NNI",1/I9)</f>
        <v>9.8653893697751696E-2</v>
      </c>
    </row>
    <row r="10" spans="1:12" ht="15.75" customHeight="1" x14ac:dyDescent="0.3">
      <c r="B10" s="3" t="s">
        <v>271</v>
      </c>
      <c r="C10" s="299" t="s">
        <v>272</v>
      </c>
      <c r="D10" s="299">
        <v>2.8999999999999998E-2</v>
      </c>
      <c r="E10" s="5"/>
      <c r="G10" s="5" t="s">
        <v>14</v>
      </c>
      <c r="I10" s="138">
        <f>I4/(Data!C28*I12*Data!C4/Common_Shares)</f>
        <v>0.57288359458337634</v>
      </c>
      <c r="J10" s="130">
        <f>IF(Asset_Model!D60/'FCFF Model'!C4&lt;0,"Negative EV",Asset_Model!D60/'FCFF Model'!C4)</f>
        <v>4.7202188627564823</v>
      </c>
    </row>
    <row r="11" spans="1:12" ht="15.75" customHeight="1" thickBot="1" x14ac:dyDescent="0.35">
      <c r="B11" s="312" t="s">
        <v>275</v>
      </c>
      <c r="C11" s="387">
        <f ca="1">C12-D10</f>
        <v>5.1000000000000004E-2</v>
      </c>
      <c r="D11" s="388"/>
      <c r="E11" s="13"/>
      <c r="G11" s="5" t="s">
        <v>15</v>
      </c>
      <c r="H11" s="6"/>
      <c r="I11" s="385" t="s">
        <v>303</v>
      </c>
      <c r="J11" s="386"/>
    </row>
    <row r="12" spans="1:12" ht="15.75" customHeight="1" thickTop="1" x14ac:dyDescent="0.3">
      <c r="B12" s="313" t="s">
        <v>148</v>
      </c>
      <c r="C12" s="406">
        <f ca="1">IF(C10="CN",8%,6%)*IF($C$5+30&gt;=TODAY(),1.2,1)</f>
        <v>0.08</v>
      </c>
      <c r="D12" s="407"/>
      <c r="G12" s="134" t="s">
        <v>16</v>
      </c>
      <c r="H12" s="133"/>
      <c r="I12" s="135">
        <v>1.1404598109878687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215</v>
      </c>
      <c r="D14" s="184">
        <f ca="1">MIN('FCFF Model'!C29,'FCFF Model'!E29)</f>
        <v>1.7221669251914855</v>
      </c>
      <c r="E14" s="127" t="s">
        <v>232</v>
      </c>
      <c r="F14" s="184">
        <f ca="1">MAX('FCFF Model'!C29,'FCFF Model'!E29)</f>
        <v>6.5622743453293415</v>
      </c>
      <c r="G14" s="185" t="s">
        <v>24</v>
      </c>
      <c r="H14" s="193">
        <f ca="1">IF('FCFF Model'!C32&lt;0, "Error", 'FCFF Model'!C32)</f>
        <v>3.5279056407623042</v>
      </c>
      <c r="I14" s="133"/>
      <c r="J14" s="133"/>
    </row>
    <row r="15" spans="1:12" ht="15.75" customHeight="1" x14ac:dyDescent="0.3">
      <c r="A15" s="6"/>
      <c r="B15" s="96"/>
      <c r="C15" s="237" t="s">
        <v>248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4.1500000000000004</v>
      </c>
      <c r="C16" s="414">
        <v>0.1</v>
      </c>
      <c r="D16" s="159">
        <f ca="1">H14/B16-1-C16</f>
        <v>-0.24990225523799905</v>
      </c>
      <c r="E16" s="411">
        <f>'FCFF Model'!D11*Exchange_Rate</f>
        <v>0.20528276597781636</v>
      </c>
      <c r="F16" s="161">
        <f>E16/B16</f>
        <v>4.9465726741642492E-2</v>
      </c>
      <c r="G16" s="380" t="s">
        <v>25</v>
      </c>
      <c r="H16" s="377">
        <f>('FCFF Model'!G19)*Exchange_Rate</f>
        <v>0.66031754337343762</v>
      </c>
      <c r="I16" s="380" t="s">
        <v>26</v>
      </c>
      <c r="J16" s="206">
        <f>B16-$H$16</f>
        <v>3.4896824566265625</v>
      </c>
    </row>
    <row r="17" spans="1:10" ht="15.75" customHeight="1" x14ac:dyDescent="0.3">
      <c r="B17" s="289">
        <f ca="1">H14/(1+C16)</f>
        <v>3.2071869461475488</v>
      </c>
      <c r="C17" s="415"/>
      <c r="D17" s="288">
        <f ca="1">H14/B17-1-C16</f>
        <v>0</v>
      </c>
      <c r="E17" s="412"/>
      <c r="F17" s="162">
        <f ca="1">E16/B17</f>
        <v>6.4007109477793506E-2</v>
      </c>
      <c r="G17" s="381"/>
      <c r="H17" s="378"/>
      <c r="I17" s="381"/>
      <c r="J17" s="205">
        <f ca="1">B17-$H$16</f>
        <v>2.546869402774111</v>
      </c>
    </row>
    <row r="18" spans="1:10" ht="15.75" customHeight="1" x14ac:dyDescent="0.3">
      <c r="B18" s="352">
        <f>C35</f>
        <v>2.4</v>
      </c>
      <c r="C18" s="416"/>
      <c r="D18" s="160">
        <f ca="1">H14/B18-1-C16</f>
        <v>0.36996068365096024</v>
      </c>
      <c r="E18" s="413"/>
      <c r="F18" s="163">
        <f>E16/B18</f>
        <v>8.5534485824090151E-2</v>
      </c>
      <c r="G18" s="382"/>
      <c r="H18" s="379"/>
      <c r="I18" s="382"/>
      <c r="J18" s="207">
        <f>B18-$H$16</f>
        <v>1.7396824566265623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252</v>
      </c>
      <c r="D20" s="290" t="s">
        <v>307</v>
      </c>
      <c r="E20" s="265" t="s">
        <v>262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66" t="s">
        <v>310</v>
      </c>
      <c r="D21" s="367"/>
      <c r="E21" s="367"/>
      <c r="F21" s="367"/>
      <c r="G21" s="367"/>
      <c r="H21" s="367"/>
      <c r="I21" s="367"/>
      <c r="J21" s="368"/>
    </row>
    <row r="22" spans="1:10" ht="52.5" customHeight="1" x14ac:dyDescent="0.3">
      <c r="A22" s="6"/>
      <c r="B22" s="24" t="s">
        <v>29</v>
      </c>
      <c r="C22" s="384"/>
      <c r="D22" s="357"/>
      <c r="E22" s="357"/>
      <c r="F22" s="357"/>
      <c r="G22" s="384"/>
      <c r="H22" s="384"/>
      <c r="I22" s="357"/>
      <c r="J22" s="357"/>
    </row>
    <row r="23" spans="1:10" ht="52.5" customHeight="1" x14ac:dyDescent="0.3">
      <c r="A23" s="6"/>
      <c r="B23" s="25" t="s">
        <v>30</v>
      </c>
      <c r="C23" s="369"/>
      <c r="D23" s="370"/>
      <c r="E23" s="370"/>
      <c r="F23" s="370"/>
      <c r="G23" s="369"/>
      <c r="H23" s="369"/>
      <c r="I23" s="370"/>
      <c r="J23" s="370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50">
        <v>0.15</v>
      </c>
      <c r="I25" s="30" t="s">
        <v>324</v>
      </c>
      <c r="J25" s="351">
        <f ca="1">H14/(H25+C16+1)</f>
        <v>2.8223245126098435</v>
      </c>
    </row>
    <row r="26" spans="1:10" ht="15.75" customHeight="1" x14ac:dyDescent="0.3">
      <c r="B26" s="23" t="s">
        <v>33</v>
      </c>
      <c r="C26" s="364">
        <v>43665</v>
      </c>
      <c r="D26" s="365"/>
      <c r="E26" s="417" t="str">
        <f>IF(C26="","","Action_Planning")</f>
        <v>Action_Planning</v>
      </c>
      <c r="F26" s="418"/>
      <c r="G26" s="418"/>
      <c r="H26" s="419"/>
      <c r="I26" s="383" t="s">
        <v>34</v>
      </c>
      <c r="J26" s="383"/>
    </row>
    <row r="27" spans="1:10" ht="15.75" customHeight="1" x14ac:dyDescent="0.3">
      <c r="B27" s="23" t="s">
        <v>35</v>
      </c>
      <c r="C27" s="410">
        <f>C31/D25</f>
        <v>0.187</v>
      </c>
      <c r="D27" s="409"/>
      <c r="E27" s="408">
        <f>E31/D25</f>
        <v>0.08</v>
      </c>
      <c r="F27" s="409"/>
      <c r="G27" s="392">
        <f>G31/D25</f>
        <v>0</v>
      </c>
      <c r="H27" s="393"/>
      <c r="I27" s="391">
        <f>C27+E27+G27</f>
        <v>0.26700000000000002</v>
      </c>
      <c r="J27" s="391"/>
    </row>
    <row r="28" spans="1:10" ht="15.75" customHeight="1" x14ac:dyDescent="0.3">
      <c r="B28" s="23" t="s">
        <v>36</v>
      </c>
      <c r="C28" s="356">
        <v>20000</v>
      </c>
      <c r="D28" s="357"/>
      <c r="E28" s="356">
        <v>20000</v>
      </c>
      <c r="F28" s="357"/>
      <c r="G28" s="373"/>
      <c r="H28" s="374"/>
      <c r="I28" s="401">
        <f>C28+E28+G28</f>
        <v>40000</v>
      </c>
      <c r="J28" s="401"/>
    </row>
    <row r="29" spans="1:10" ht="15.75" customHeight="1" x14ac:dyDescent="0.3">
      <c r="B29" s="23" t="s">
        <v>37</v>
      </c>
      <c r="C29" s="358">
        <v>5.61</v>
      </c>
      <c r="D29" s="357"/>
      <c r="E29" s="358">
        <v>2.4</v>
      </c>
      <c r="F29" s="357"/>
      <c r="G29" s="394"/>
      <c r="H29" s="395"/>
      <c r="I29" s="398"/>
      <c r="J29" s="398"/>
    </row>
    <row r="30" spans="1:10" ht="15.75" customHeight="1" x14ac:dyDescent="0.3">
      <c r="B30" s="23" t="s">
        <v>38</v>
      </c>
      <c r="C30" s="354">
        <f>C29*$I$5/1000000</f>
        <v>161000.62753368003</v>
      </c>
      <c r="D30" s="355"/>
      <c r="E30" s="354">
        <f>E29*$I$5/1000000</f>
        <v>68877.273811199993</v>
      </c>
      <c r="F30" s="355"/>
      <c r="G30" s="396">
        <f>G29*$I$5/1000000</f>
        <v>0</v>
      </c>
      <c r="H30" s="397"/>
      <c r="I30" s="399"/>
      <c r="J30" s="399"/>
    </row>
    <row r="31" spans="1:10" ht="15.75" customHeight="1" x14ac:dyDescent="0.3">
      <c r="B31" s="2" t="s">
        <v>39</v>
      </c>
      <c r="C31" s="426">
        <f>C28*C29</f>
        <v>112200</v>
      </c>
      <c r="D31" s="427"/>
      <c r="E31" s="400">
        <f>E28*E29</f>
        <v>48000</v>
      </c>
      <c r="F31" s="428"/>
      <c r="G31" s="403">
        <f>G28*G29</f>
        <v>0</v>
      </c>
      <c r="H31" s="404"/>
      <c r="I31" s="400">
        <f>C31+E31+G31</f>
        <v>160200</v>
      </c>
      <c r="J31" s="400"/>
    </row>
    <row r="32" spans="1:10" ht="15.75" customHeight="1" x14ac:dyDescent="0.3">
      <c r="B32" s="1" t="s">
        <v>40</v>
      </c>
      <c r="C32" s="422"/>
      <c r="D32" s="423"/>
      <c r="E32" s="402">
        <f>IF(C31=0,"-",(C31+E31)/(C28+E28))</f>
        <v>4.0049999999999999</v>
      </c>
      <c r="F32" s="409"/>
      <c r="G32" s="117"/>
      <c r="H32" s="117"/>
      <c r="I32" s="402">
        <f>IF(I31=0,"",I31/I28)</f>
        <v>4.0049999999999999</v>
      </c>
      <c r="J32" s="402"/>
    </row>
    <row r="33" spans="2:10" ht="15.75" customHeight="1" x14ac:dyDescent="0.3">
      <c r="B33" s="1" t="s">
        <v>41</v>
      </c>
      <c r="C33" s="424"/>
      <c r="D33" s="425"/>
      <c r="E33" s="354">
        <f>IF(E32="-","-",E32*$I$5/1000000)</f>
        <v>114938.95067244</v>
      </c>
      <c r="F33" s="355"/>
      <c r="G33" s="118"/>
      <c r="H33" s="118"/>
      <c r="I33" s="354">
        <f>IF(I32="","",I32*$I$5/1000000)</f>
        <v>114938.95067244</v>
      </c>
      <c r="J33" s="354"/>
    </row>
    <row r="34" spans="2:10" ht="15.75" customHeight="1" x14ac:dyDescent="0.3"/>
    <row r="35" spans="2:10" ht="15.75" customHeight="1" x14ac:dyDescent="0.3">
      <c r="B35" s="146" t="s">
        <v>320</v>
      </c>
      <c r="C35" s="389">
        <f>E29</f>
        <v>2.4</v>
      </c>
      <c r="D35" s="390"/>
      <c r="G35" s="420" t="s">
        <v>321</v>
      </c>
      <c r="H35" s="421"/>
      <c r="I35" s="389">
        <f ca="1">'FCFF Model'!C33*0.8</f>
        <v>5.6118554660259443</v>
      </c>
      <c r="J35" s="390"/>
    </row>
    <row r="36" spans="2:10" ht="15.75" customHeight="1" x14ac:dyDescent="0.3">
      <c r="B36" s="146" t="s">
        <v>322</v>
      </c>
      <c r="C36" s="356">
        <v>20000</v>
      </c>
      <c r="D36" s="405"/>
      <c r="G36" s="446" t="s">
        <v>328</v>
      </c>
      <c r="H36" s="446"/>
      <c r="I36" s="435">
        <f ca="1">I35/C29-1</f>
        <v>3.3074260712018244E-4</v>
      </c>
      <c r="J36" s="436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G36:H36"/>
    <mergeCell ref="I36:J36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  <mergeCell ref="E31:F31"/>
    <mergeCell ref="E32:F32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30:D30"/>
    <mergeCell ref="C28:D28"/>
    <mergeCell ref="E29:F29"/>
    <mergeCell ref="E30:F30"/>
    <mergeCell ref="E28:F28"/>
  </mergeCells>
  <conditionalFormatting sqref="I16">
    <cfRule type="cellIs" dxfId="15" priority="24" operator="lessThan">
      <formula>0</formula>
    </cfRule>
  </conditionalFormatting>
  <conditionalFormatting sqref="C26:D26 I26 C28:G29 I28:I29">
    <cfRule type="containsBlanks" priority="18">
      <formula>LEN(TRIM(C26))=0</formula>
    </cfRule>
  </conditionalFormatting>
  <conditionalFormatting sqref="D16 D18">
    <cfRule type="cellIs" dxfId="14" priority="14" operator="lessThan">
      <formula>0</formula>
    </cfRule>
  </conditionalFormatting>
  <conditionalFormatting sqref="H16">
    <cfRule type="cellIs" dxfId="13" priority="9" operator="greaterThan">
      <formula>$B$16</formula>
    </cfRule>
  </conditionalFormatting>
  <conditionalFormatting sqref="H14">
    <cfRule type="cellIs" dxfId="12" priority="6" operator="greaterThan">
      <formula>$B$16</formula>
    </cfRule>
  </conditionalFormatting>
  <conditionalFormatting sqref="C35:D36">
    <cfRule type="containsBlanks" priority="5">
      <formula>LEN(TRIM(C35))=0</formula>
    </cfRule>
  </conditionalFormatting>
  <conditionalFormatting sqref="I35:J35">
    <cfRule type="containsBlanks" priority="4">
      <formula>LEN(TRIM(I35))=0</formula>
    </cfRule>
  </conditionalFormatting>
  <conditionalFormatting sqref="E26">
    <cfRule type="containsBlanks" priority="3">
      <formula>LEN(TRIM(E26))=0</formula>
    </cfRule>
  </conditionalFormatting>
  <conditionalFormatting sqref="E26:H26">
    <cfRule type="containsBlanks" dxfId="11" priority="2">
      <formula>LEN(TRIM(E26))=0</formula>
    </cfRule>
  </conditionalFormatting>
  <conditionalFormatting sqref="I36:J36">
    <cfRule type="containsBlanks" priority="1">
      <formula>LEN(TRIM(I36))=0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23" sqref="D2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10302605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19261683.75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225731755</v>
      </c>
      <c r="D7" s="35">
        <v>227656041</v>
      </c>
      <c r="E7" s="35">
        <v>229010833</v>
      </c>
      <c r="F7" s="35"/>
      <c r="G7" s="35"/>
      <c r="H7" s="35"/>
      <c r="I7" s="35"/>
      <c r="J7" s="35"/>
      <c r="K7" s="35"/>
      <c r="L7" s="35"/>
      <c r="M7" s="240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-8.452602406452292E-3</v>
      </c>
      <c r="D8" s="14">
        <f t="shared" si="1"/>
        <v>-5.9158424178126223E-3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179303892</v>
      </c>
      <c r="D9" s="35">
        <v>176954601</v>
      </c>
      <c r="E9" s="35">
        <v>176149897</v>
      </c>
      <c r="F9" s="35"/>
      <c r="G9" s="35"/>
      <c r="H9" s="35"/>
      <c r="I9" s="35"/>
      <c r="J9" s="35"/>
      <c r="K9" s="35"/>
      <c r="L9" s="35"/>
      <c r="M9" s="240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0.20567714542422266</v>
      </c>
      <c r="D10" s="14">
        <f t="shared" si="2"/>
        <v>0.22271071647073051</v>
      </c>
      <c r="E10" s="14">
        <f t="shared" si="2"/>
        <v>0.23082286242764768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f>Operation!C18</f>
        <v>20745618</v>
      </c>
      <c r="D11" s="35">
        <v>20769451</v>
      </c>
      <c r="E11" s="35">
        <v>20999473</v>
      </c>
      <c r="F11" s="35"/>
      <c r="G11" s="35"/>
      <c r="H11" s="35"/>
      <c r="I11" s="35"/>
      <c r="J11" s="35"/>
      <c r="K11" s="35"/>
      <c r="L11" s="35"/>
      <c r="M11" s="240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9.1903852871741507E-2</v>
      </c>
      <c r="D12" s="14">
        <f t="shared" si="3"/>
        <v>9.1231714777997047E-2</v>
      </c>
      <c r="E12" s="14">
        <f t="shared" si="3"/>
        <v>9.1696417697410854E-2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0.11377329255248116</v>
      </c>
      <c r="D13" s="14">
        <f t="shared" si="4"/>
        <v>0.13147900169273347</v>
      </c>
      <c r="E13" s="14">
        <f t="shared" si="4"/>
        <v>0.13912644473023683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>Operation!C21</f>
        <v>25682245</v>
      </c>
      <c r="D14" s="27">
        <f t="shared" ref="D14:M14" si="5">IF(D7="","",D7-D9-D11)</f>
        <v>29931989</v>
      </c>
      <c r="E14" s="27">
        <f t="shared" si="5"/>
        <v>31861463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-0.14198000674128272</v>
      </c>
      <c r="D15" s="14">
        <f t="shared" ref="D15:M15" si="6">IF(E14="","",IF(ABS(D14+E14)=ABS(D14)+ABS(E14),IF(D14&lt;0,-1,1)*(D14-E14)/E14,"Turn"))</f>
        <v>-6.0558236136237689E-2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Operation!C24</f>
        <v>19261683.75</v>
      </c>
      <c r="D16" s="143">
        <f>IF(D14="","",D14*(1-Operation!$D$22))</f>
        <v>29931989</v>
      </c>
      <c r="E16" s="143">
        <f>IF(E14="","",E14*(1-Operation!$D$22))</f>
        <v>31861463</v>
      </c>
      <c r="F16" s="143" t="str">
        <f>IF(F14="","",F14*(1-Operation!$D$22))</f>
        <v/>
      </c>
      <c r="G16" s="143" t="str">
        <f>IF(G14="","",G14*(1-Operation!$D$22))</f>
        <v/>
      </c>
      <c r="H16" s="143" t="str">
        <f>IF(H14="","",H14*(1-Operation!$D$22))</f>
        <v/>
      </c>
      <c r="I16" s="143" t="str">
        <f>IF(I14="","",I14*(1-Operation!$D$22))</f>
        <v/>
      </c>
      <c r="J16" s="143" t="str">
        <f>IF(J14="","",J14*(1-Operation!$D$22))</f>
        <v/>
      </c>
      <c r="K16" s="143" t="str">
        <f>IF(K14="","",K14*(1-Operation!$D$22))</f>
        <v/>
      </c>
      <c r="L16" s="143" t="str">
        <f>IF(L14="","",L14*(1-Operation!$D$22))</f>
        <v/>
      </c>
      <c r="M16" s="242" t="str">
        <f>IF(M14="","",M14*(1-Operation!$D$22))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8.5329969414360871E-2</v>
      </c>
      <c r="D17" s="129">
        <f t="shared" si="7"/>
        <v>0.13147900169273347</v>
      </c>
      <c r="E17" s="129">
        <f t="shared" si="7"/>
        <v>0.13912644473023683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3" t="str">
        <f t="shared" si="7"/>
        <v/>
      </c>
      <c r="N17" s="6"/>
    </row>
    <row r="18" spans="1:14" ht="15.75" customHeight="1" x14ac:dyDescent="0.3">
      <c r="A18" s="9"/>
      <c r="B18" s="44" t="s">
        <v>255</v>
      </c>
      <c r="C18" s="144">
        <v>1213343</v>
      </c>
      <c r="D18" s="144">
        <v>1015069</v>
      </c>
      <c r="E18" s="144">
        <v>1131836</v>
      </c>
      <c r="F18" s="144"/>
      <c r="G18" s="144"/>
      <c r="H18" s="144"/>
      <c r="I18" s="144"/>
      <c r="J18" s="144"/>
      <c r="K18" s="144"/>
      <c r="L18" s="144"/>
      <c r="M18" s="244"/>
      <c r="N18" s="6"/>
    </row>
    <row r="19" spans="1:14" ht="15.75" customHeight="1" x14ac:dyDescent="0.3">
      <c r="A19" s="9"/>
      <c r="B19" s="44" t="s">
        <v>56</v>
      </c>
      <c r="C19" s="35">
        <v>10302605</v>
      </c>
      <c r="D19" s="35">
        <v>11331053</v>
      </c>
      <c r="E19" s="35">
        <v>11794929</v>
      </c>
      <c r="F19" s="35"/>
      <c r="G19" s="35"/>
      <c r="H19" s="35"/>
      <c r="I19" s="35"/>
      <c r="J19" s="35"/>
      <c r="K19" s="35"/>
      <c r="L19" s="35"/>
      <c r="M19" s="240"/>
      <c r="N19" s="6"/>
    </row>
    <row r="20" spans="1:14" ht="15.75" customHeight="1" x14ac:dyDescent="0.3">
      <c r="A20" s="9"/>
      <c r="B20" s="44" t="s">
        <v>269</v>
      </c>
      <c r="C20" s="14">
        <f>IF(D19="","",IF(ABS(C19+D19)=ABS(C19)+ABS(D19),IF(C19&lt;0,-1,1)*(C19-D19)/D19,"Turn"))</f>
        <v>-9.0763673949808554E-2</v>
      </c>
      <c r="D20" s="14">
        <f t="shared" ref="D20:M20" si="8">IF(E19="","",IF(ABS(D19+E19)=ABS(D19)+ABS(E19),IF(D19&lt;0,-1,1)*(D19-E19)/E19,"Turn"))</f>
        <v>-3.9328426648435104E-2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279882630</v>
      </c>
      <c r="D21" s="35">
        <v>249727225</v>
      </c>
      <c r="E21" s="35">
        <v>251215115</v>
      </c>
      <c r="F21" s="35"/>
      <c r="G21" s="35"/>
      <c r="H21" s="35"/>
      <c r="I21" s="35"/>
      <c r="J21" s="35"/>
      <c r="K21" s="35"/>
      <c r="L21" s="35"/>
      <c r="M21" s="240"/>
      <c r="N21" s="6"/>
    </row>
    <row r="22" spans="1:14" ht="15.75" customHeight="1" x14ac:dyDescent="0.3">
      <c r="A22" s="9"/>
      <c r="B22" s="44" t="s">
        <v>58</v>
      </c>
      <c r="C22" s="176">
        <v>215556317</v>
      </c>
      <c r="D22" s="35">
        <v>197492911</v>
      </c>
      <c r="E22" s="35">
        <v>200164511</v>
      </c>
      <c r="F22" s="35"/>
      <c r="G22" s="35"/>
      <c r="H22" s="35"/>
      <c r="I22" s="35"/>
      <c r="J22" s="35"/>
      <c r="K22" s="35"/>
      <c r="L22" s="35"/>
      <c r="M22" s="240"/>
      <c r="N22" s="6"/>
    </row>
    <row r="23" spans="1:14" ht="15.5" customHeight="1" x14ac:dyDescent="0.3">
      <c r="A23" s="9"/>
      <c r="B23" s="44" t="s">
        <v>59</v>
      </c>
      <c r="C23" s="176">
        <v>21425671</v>
      </c>
      <c r="D23" s="35">
        <v>19351309</v>
      </c>
      <c r="E23" s="35">
        <v>14531207</v>
      </c>
      <c r="F23" s="35"/>
      <c r="G23" s="35"/>
      <c r="H23" s="35"/>
      <c r="I23" s="35"/>
      <c r="J23" s="35"/>
      <c r="K23" s="35"/>
      <c r="L23" s="35"/>
      <c r="M23" s="240"/>
      <c r="N23" s="6"/>
    </row>
    <row r="24" spans="1:14" ht="15.75" customHeight="1" x14ac:dyDescent="0.3">
      <c r="A24" s="9"/>
      <c r="B24" s="141" t="s">
        <v>60</v>
      </c>
      <c r="C24" s="272">
        <v>0</v>
      </c>
      <c r="D24" s="140">
        <v>0</v>
      </c>
      <c r="E24" s="140">
        <v>0</v>
      </c>
      <c r="F24" s="140"/>
      <c r="G24" s="140"/>
      <c r="H24" s="140"/>
      <c r="I24" s="140"/>
      <c r="J24" s="140"/>
      <c r="K24" s="140"/>
      <c r="L24" s="140"/>
      <c r="M24" s="245"/>
      <c r="N24" s="6"/>
    </row>
    <row r="25" spans="1:14" ht="15.75" customHeight="1" x14ac:dyDescent="0.3">
      <c r="A25" s="9"/>
      <c r="B25" s="44" t="s">
        <v>61</v>
      </c>
      <c r="C25" s="176">
        <v>11179783</v>
      </c>
      <c r="D25" s="35">
        <v>7994915</v>
      </c>
      <c r="E25" s="35">
        <v>8084962</v>
      </c>
      <c r="F25" s="35"/>
      <c r="G25" s="35"/>
      <c r="H25" s="35"/>
      <c r="I25" s="35"/>
      <c r="J25" s="35"/>
      <c r="K25" s="35"/>
      <c r="L25" s="35"/>
      <c r="M25" s="240"/>
      <c r="N25" s="6"/>
    </row>
    <row r="26" spans="1:14" ht="15.75" customHeight="1" x14ac:dyDescent="0.3">
      <c r="A26" s="9"/>
      <c r="B26" s="141" t="s">
        <v>62</v>
      </c>
      <c r="C26" s="175">
        <v>1225507</v>
      </c>
      <c r="D26" s="140">
        <v>1292313</v>
      </c>
      <c r="E26" s="140">
        <v>960501</v>
      </c>
      <c r="F26" s="140"/>
      <c r="G26" s="140"/>
      <c r="H26" s="140"/>
      <c r="I26" s="140"/>
      <c r="J26" s="140"/>
      <c r="K26" s="140"/>
      <c r="L26" s="140"/>
      <c r="M26" s="245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32605454</v>
      </c>
      <c r="D27" s="27">
        <f t="shared" si="9"/>
        <v>27346224</v>
      </c>
      <c r="E27" s="27">
        <f t="shared" si="9"/>
        <v>22616169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182291506</v>
      </c>
      <c r="D28" s="35">
        <v>169141564</v>
      </c>
      <c r="E28" s="35">
        <v>158828482</v>
      </c>
      <c r="F28" s="35"/>
      <c r="G28" s="35"/>
      <c r="H28" s="35"/>
      <c r="I28" s="35"/>
      <c r="J28" s="35"/>
      <c r="K28" s="35"/>
      <c r="L28" s="35"/>
      <c r="M28" s="240"/>
      <c r="N28" s="6"/>
    </row>
    <row r="29" spans="1:14" ht="15.75" customHeight="1" x14ac:dyDescent="0.3">
      <c r="A29" s="9"/>
      <c r="B29" s="141" t="s">
        <v>209</v>
      </c>
      <c r="C29" s="175">
        <v>148574346</v>
      </c>
      <c r="D29" s="140">
        <v>143021347</v>
      </c>
      <c r="E29" s="140">
        <v>135893631</v>
      </c>
      <c r="F29" s="140"/>
      <c r="G29" s="140"/>
      <c r="H29" s="140"/>
      <c r="I29" s="140"/>
      <c r="J29" s="140"/>
      <c r="K29" s="140"/>
      <c r="L29" s="140"/>
      <c r="M29" s="245"/>
      <c r="N29" s="6"/>
    </row>
    <row r="30" spans="1:14" ht="15.75" customHeight="1" x14ac:dyDescent="0.3">
      <c r="A30" s="9"/>
      <c r="B30" s="44" t="s">
        <v>65</v>
      </c>
      <c r="C30" s="176">
        <v>66724052</v>
      </c>
      <c r="D30" s="35">
        <v>68095130</v>
      </c>
      <c r="E30" s="35">
        <v>67596202</v>
      </c>
      <c r="F30" s="35"/>
      <c r="G30" s="35"/>
      <c r="H30" s="35"/>
      <c r="I30" s="35"/>
      <c r="J30" s="35"/>
      <c r="K30" s="35"/>
      <c r="L30" s="35"/>
      <c r="M30" s="240"/>
      <c r="N30" s="6"/>
    </row>
    <row r="31" spans="1:14" ht="15.75" customHeight="1" x14ac:dyDescent="0.3">
      <c r="A31" s="9"/>
      <c r="B31" s="44" t="s">
        <v>233</v>
      </c>
      <c r="C31" s="176">
        <v>43277994</v>
      </c>
      <c r="D31" s="35">
        <v>29840378</v>
      </c>
      <c r="E31" s="35">
        <v>35819586</v>
      </c>
      <c r="F31" s="35"/>
      <c r="G31" s="35"/>
      <c r="H31" s="35"/>
      <c r="I31" s="35"/>
      <c r="J31" s="35"/>
      <c r="K31" s="35"/>
      <c r="L31" s="35"/>
      <c r="M31" s="240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-2.0548482277425239E-2</v>
      </c>
      <c r="D32" s="14">
        <f t="shared" si="10"/>
        <v>7.3269263161697467E-3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7">
        <f>IF(D7="","",(C7-D7)*Asset_Model!$D$65)</f>
        <v>-25400.575199999999</v>
      </c>
      <c r="D33" s="247">
        <f>IF(E7="","",(D7-E7)*Asset_Model!$D$65)</f>
        <v>-17883.254400000002</v>
      </c>
      <c r="E33" s="247" t="str">
        <f>IF(F7="","",(E7-F7)*Asset_Model!$D$65)</f>
        <v/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 x14ac:dyDescent="0.3">
      <c r="A34" s="9"/>
      <c r="B34" s="44" t="s">
        <v>78</v>
      </c>
      <c r="C34" s="143">
        <f>IF(D7="","",C30-D30+C33+IF($C$49="Yes",C51,0))</f>
        <v>11688740.424799999</v>
      </c>
      <c r="D34" s="143">
        <f>IF(E7="","",D30-E30+D33+IF($C$49="Yes",D51,0))</f>
        <v>13830940.7456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6" t="s">
        <v>68</v>
      </c>
      <c r="C35" s="238">
        <f t="shared" ref="C35:M35" si="19">IF(C34="","",C34/C16)</f>
        <v>0.60683897506104567</v>
      </c>
      <c r="D35" s="238">
        <f t="shared" si="19"/>
        <v>0.46207890647026495</v>
      </c>
      <c r="E35" s="238" t="str">
        <f t="shared" si="19"/>
        <v/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256</v>
      </c>
      <c r="C37" s="165">
        <v>5962879</v>
      </c>
      <c r="D37" s="165">
        <v>5344279</v>
      </c>
      <c r="E37" s="165">
        <v>5300923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205</v>
      </c>
      <c r="C39" s="170">
        <f t="shared" ref="C39:M39" si="20">IF(C37="","",C37*$C$4/Common_Shares)</f>
        <v>0.20777404226578042</v>
      </c>
      <c r="D39" s="170">
        <f t="shared" si="20"/>
        <v>0.18621918218131253</v>
      </c>
      <c r="E39" s="170">
        <f t="shared" si="20"/>
        <v>0.18470846036782695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206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6.1329149368045704E-2</v>
      </c>
      <c r="D42" s="48">
        <f t="shared" ref="D42:M42" si="22">IF(D29="","",D25/D29)</f>
        <v>5.5900151744480493E-2</v>
      </c>
      <c r="E42" s="48">
        <f t="shared" si="22"/>
        <v>5.9494782356650698E-2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251</v>
      </c>
      <c r="C43" s="14">
        <f t="shared" ref="C43:M43" si="23">IF(C29="","",C27/C29)</f>
        <v>0.21945547719254305</v>
      </c>
      <c r="D43" s="14">
        <f t="shared" si="23"/>
        <v>0.19120379281562772</v>
      </c>
      <c r="E43" s="14">
        <f t="shared" si="23"/>
        <v>0.16642552585852974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0.78766714918307834</v>
      </c>
      <c r="D44" s="50">
        <f t="shared" si="24"/>
        <v>1.0945565647381519</v>
      </c>
      <c r="E44" s="50">
        <f t="shared" si="24"/>
        <v>1.408791338621497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6.2992571975957187E-2</v>
      </c>
      <c r="D45" s="14">
        <f t="shared" si="25"/>
        <v>3.391251413329064E-2</v>
      </c>
      <c r="E45" s="14">
        <f t="shared" si="25"/>
        <v>3.5523666945237259E-2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1.298419985529814</v>
      </c>
      <c r="D46" s="51">
        <f t="shared" si="26"/>
        <v>1.26448703265101</v>
      </c>
      <c r="E46" s="51">
        <f t="shared" si="26"/>
        <v>1.2550432329135508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315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297</v>
      </c>
      <c r="C51" s="165">
        <v>13085219</v>
      </c>
      <c r="D51" s="165">
        <v>13349896</v>
      </c>
      <c r="E51" s="165">
        <v>12017162</v>
      </c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298</v>
      </c>
      <c r="C52" s="347">
        <f>IF(C51="","",C51/C7)</f>
        <v>5.7968002773911891E-2</v>
      </c>
      <c r="D52" s="347">
        <f t="shared" ref="D52:M52" si="27">IF(D51="","",D51/D7)</f>
        <v>5.8640640245518461E-2</v>
      </c>
      <c r="E52" s="347">
        <f t="shared" si="27"/>
        <v>5.2474207628422538E-2</v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0" priority="3">
      <formula>LEN(TRIM(C7))=0</formula>
    </cfRule>
  </conditionalFormatting>
  <conditionalFormatting sqref="D17:M18">
    <cfRule type="containsBlanks" dxfId="9" priority="4">
      <formula>LEN(TRIM(D17))=0</formula>
    </cfRule>
  </conditionalFormatting>
  <conditionalFormatting sqref="C37:M40">
    <cfRule type="containsBlanks" dxfId="8" priority="5">
      <formula>LEN(TRIM(C37))=0</formula>
    </cfRule>
  </conditionalFormatting>
  <conditionalFormatting sqref="B51:M52">
    <cfRule type="expression" dxfId="7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49.81640625" style="3" customWidth="1"/>
    <col min="12" max="16384" width="12.453125" style="3"/>
  </cols>
  <sheetData>
    <row r="2" spans="1:11" ht="15" customHeight="1" x14ac:dyDescent="0.3">
      <c r="A2" s="4"/>
      <c r="B2" s="266" t="s">
        <v>80</v>
      </c>
      <c r="C2" s="266"/>
      <c r="D2" s="11"/>
      <c r="E2" s="12"/>
      <c r="F2" s="12"/>
      <c r="G2" s="12"/>
      <c r="H2" s="12"/>
      <c r="I2" s="12"/>
      <c r="K2" s="346" t="s">
        <v>139</v>
      </c>
    </row>
    <row r="3" spans="1:11" ht="15" customHeight="1" x14ac:dyDescent="0.3">
      <c r="B3" s="5" t="s">
        <v>257</v>
      </c>
      <c r="C3" s="6"/>
      <c r="D3" s="273">
        <v>184295625</v>
      </c>
      <c r="E3" s="156" t="str">
        <f>IF((C46-I46)=D3,"", "Error!")</f>
        <v/>
      </c>
      <c r="F3" s="6"/>
      <c r="G3" s="6"/>
      <c r="H3" s="274" t="s">
        <v>258</v>
      </c>
      <c r="I3" s="275">
        <v>149326777</v>
      </c>
    </row>
    <row r="4" spans="1:11" ht="15" customHeight="1" x14ac:dyDescent="0.3">
      <c r="B4" s="5" t="s">
        <v>224</v>
      </c>
      <c r="C4" s="6"/>
      <c r="D4" s="276">
        <f>D3-I3</f>
        <v>34968848</v>
      </c>
      <c r="E4" s="150"/>
      <c r="F4" s="6"/>
      <c r="G4" s="6"/>
      <c r="H4" s="60" t="s">
        <v>81</v>
      </c>
      <c r="I4" s="91">
        <f>(I3*Dashboard!I12*Data!C4)/Dashboard!I5</f>
        <v>5.9340741623309237</v>
      </c>
    </row>
    <row r="5" spans="1:11" ht="15" customHeight="1" x14ac:dyDescent="0.3">
      <c r="D5" s="6"/>
      <c r="E5" s="23" t="s">
        <v>82</v>
      </c>
      <c r="I5" s="6"/>
    </row>
    <row r="6" spans="1:11" ht="15" customHeight="1" x14ac:dyDescent="0.3">
      <c r="B6" s="58" t="s">
        <v>83</v>
      </c>
      <c r="C6" s="6"/>
      <c r="D6" s="59">
        <f>E46-I46-E50</f>
        <v>-58336855.100000024</v>
      </c>
      <c r="E6" s="14">
        <f>1-D6/D3</f>
        <v>1.3165395548592107</v>
      </c>
      <c r="F6" s="6"/>
      <c r="G6" s="6"/>
      <c r="H6" s="3" t="s">
        <v>325</v>
      </c>
      <c r="I6" s="69">
        <f>C26/I26</f>
        <v>1.2376752190457769</v>
      </c>
      <c r="J6" s="6"/>
    </row>
    <row r="7" spans="1:11" ht="15" customHeight="1" x14ac:dyDescent="0.3">
      <c r="B7" s="53" t="s">
        <v>84</v>
      </c>
      <c r="D7" s="61">
        <f>MAX((D6*Dashboard!I12*Data!C4)/Dashboard!I5, 0)</f>
        <v>0</v>
      </c>
      <c r="E7" s="49" t="str">
        <f>Dashboard!J4</f>
        <v>HKD</v>
      </c>
      <c r="H7" s="3" t="s">
        <v>326</v>
      </c>
      <c r="I7" s="69">
        <f>C25/I26</f>
        <v>0.82306247297105539</v>
      </c>
      <c r="J7" s="6"/>
    </row>
    <row r="8" spans="1:11" ht="15" customHeight="1" x14ac:dyDescent="0.3">
      <c r="D8" s="6"/>
      <c r="H8" s="3" t="s">
        <v>327</v>
      </c>
      <c r="I8" s="69">
        <f>C24/I26</f>
        <v>0.26344114998182927</v>
      </c>
    </row>
    <row r="9" spans="1:11" ht="15" customHeight="1" x14ac:dyDescent="0.3">
      <c r="A9" s="4"/>
      <c r="B9" s="267" t="s">
        <v>253</v>
      </c>
      <c r="C9" s="254"/>
      <c r="D9" s="271">
        <v>44834</v>
      </c>
      <c r="E9" s="268" t="str">
        <f>IF(D9=Data!C3,"FY","Quarter")</f>
        <v>Quarter</v>
      </c>
      <c r="F9" s="133"/>
      <c r="G9" s="133"/>
      <c r="H9" s="133"/>
      <c r="I9" s="133"/>
    </row>
    <row r="10" spans="1:11" ht="15" customHeight="1" x14ac:dyDescent="0.3">
      <c r="B10" s="5" t="s">
        <v>85</v>
      </c>
      <c r="C10" s="23" t="s">
        <v>86</v>
      </c>
      <c r="D10" s="23" t="s">
        <v>87</v>
      </c>
      <c r="E10" s="23" t="s">
        <v>88</v>
      </c>
      <c r="F10" s="30" t="s">
        <v>240</v>
      </c>
      <c r="G10" s="6"/>
      <c r="H10" s="63" t="s">
        <v>89</v>
      </c>
      <c r="I10" s="23" t="s">
        <v>86</v>
      </c>
    </row>
    <row r="11" spans="1:11" ht="15" customHeight="1" x14ac:dyDescent="0.3">
      <c r="B11" s="5" t="s">
        <v>90</v>
      </c>
      <c r="C11" s="64">
        <v>53033999</v>
      </c>
      <c r="D11" s="65">
        <v>1</v>
      </c>
      <c r="E11" s="27">
        <f t="shared" ref="E11:E21" si="0">C11*D11</f>
        <v>53033999</v>
      </c>
      <c r="F11" s="6"/>
      <c r="G11" s="6"/>
      <c r="H11" s="5" t="s">
        <v>91</v>
      </c>
      <c r="I11" s="64">
        <f>16470532+303311+700041+16895+3006723</f>
        <v>20497502</v>
      </c>
      <c r="J11" s="6"/>
    </row>
    <row r="12" spans="1:11" ht="14" x14ac:dyDescent="0.3">
      <c r="B12" s="3" t="s">
        <v>92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93</v>
      </c>
      <c r="I12" s="64">
        <v>3842</v>
      </c>
      <c r="J12" s="6"/>
    </row>
    <row r="13" spans="1:11" ht="14" x14ac:dyDescent="0.3">
      <c r="B13" s="5" t="s">
        <v>94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95</v>
      </c>
      <c r="I13" s="64">
        <v>0</v>
      </c>
      <c r="J13" s="6"/>
    </row>
    <row r="14" spans="1:11" ht="14" x14ac:dyDescent="0.3">
      <c r="B14" s="5" t="s">
        <v>96</v>
      </c>
      <c r="C14" s="64">
        <v>13328984</v>
      </c>
      <c r="D14" s="65">
        <v>0.6</v>
      </c>
      <c r="E14" s="27">
        <f t="shared" si="0"/>
        <v>7997390.3999999994</v>
      </c>
      <c r="F14" s="6"/>
      <c r="G14" s="6"/>
      <c r="H14" s="3" t="s">
        <v>97</v>
      </c>
      <c r="I14" s="64">
        <v>0</v>
      </c>
      <c r="J14" s="6"/>
    </row>
    <row r="15" spans="1:11" ht="14" x14ac:dyDescent="0.3">
      <c r="B15" s="5" t="s">
        <v>98</v>
      </c>
      <c r="C15" s="64">
        <v>0</v>
      </c>
      <c r="D15" s="65">
        <v>0.8</v>
      </c>
      <c r="E15" s="27">
        <f t="shared" si="0"/>
        <v>0</v>
      </c>
      <c r="G15" s="6"/>
      <c r="H15" s="5" t="s">
        <v>99</v>
      </c>
      <c r="I15" s="155">
        <f>I26-SUM(I11:I14)</f>
        <v>231406845</v>
      </c>
      <c r="J15" s="6"/>
    </row>
    <row r="16" spans="1:11" ht="14" x14ac:dyDescent="0.3">
      <c r="B16" s="3" t="s">
        <v>97</v>
      </c>
      <c r="C16" s="64">
        <v>0</v>
      </c>
      <c r="D16" s="65">
        <v>0.5</v>
      </c>
      <c r="E16" s="27">
        <f t="shared" si="0"/>
        <v>0</v>
      </c>
      <c r="F16" s="204" t="s">
        <v>241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100</v>
      </c>
      <c r="C17" s="64">
        <f>19614265+86044874+7280003+4892308+23141744</f>
        <v>140973194</v>
      </c>
      <c r="D17" s="65">
        <v>0.6</v>
      </c>
      <c r="E17" s="27">
        <f t="shared" si="0"/>
        <v>84583916.399999991</v>
      </c>
      <c r="F17" s="6"/>
      <c r="G17" s="6"/>
      <c r="H17" s="5"/>
      <c r="I17" s="154"/>
      <c r="J17" s="6"/>
    </row>
    <row r="18" spans="2:10" ht="14" x14ac:dyDescent="0.3">
      <c r="B18" s="5" t="s">
        <v>101</v>
      </c>
      <c r="C18" s="64">
        <f>84060059+71160</f>
        <v>84131219</v>
      </c>
      <c r="D18" s="65">
        <v>0.6</v>
      </c>
      <c r="E18" s="27">
        <f t="shared" si="0"/>
        <v>50478731.399999999</v>
      </c>
      <c r="G18" s="6"/>
    </row>
    <row r="19" spans="2:10" ht="14" x14ac:dyDescent="0.3">
      <c r="B19" s="3" t="s">
        <v>102</v>
      </c>
      <c r="C19" s="64">
        <v>0</v>
      </c>
      <c r="D19" s="65">
        <v>0.75</v>
      </c>
      <c r="E19" s="27">
        <f t="shared" si="0"/>
        <v>0</v>
      </c>
      <c r="F19" s="204" t="s">
        <v>242</v>
      </c>
      <c r="G19" s="94">
        <f>IF(F19="Y",0,1)</f>
        <v>1</v>
      </c>
      <c r="H19" s="5"/>
      <c r="I19" s="154"/>
    </row>
    <row r="20" spans="2:10" ht="14" x14ac:dyDescent="0.3">
      <c r="B20" s="5" t="s">
        <v>103</v>
      </c>
      <c r="C20" s="64">
        <v>0</v>
      </c>
      <c r="D20" s="65">
        <v>0.6</v>
      </c>
      <c r="E20" s="27">
        <f t="shared" si="0"/>
        <v>0</v>
      </c>
      <c r="F20" s="204" t="s">
        <v>242</v>
      </c>
      <c r="G20" s="94">
        <f>IF(F20="Y",0,1)</f>
        <v>1</v>
      </c>
      <c r="H20" s="5"/>
      <c r="I20" s="154"/>
    </row>
    <row r="21" spans="2:10" ht="14" x14ac:dyDescent="0.3">
      <c r="B21" s="5" t="s">
        <v>104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105</v>
      </c>
      <c r="C22" s="64">
        <f>9077310+6267840+4967977</f>
        <v>20313127</v>
      </c>
      <c r="D22" s="65">
        <v>0.2</v>
      </c>
      <c r="E22" s="27">
        <f t="shared" ref="E22" si="1">C22*D22</f>
        <v>4062625.4000000004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106</v>
      </c>
      <c r="C24" s="70">
        <f>SUM(C11:C14)</f>
        <v>66362983</v>
      </c>
      <c r="D24" s="68">
        <f>IF(E24=0,0,E24/C24)</f>
        <v>0.91966012739361036</v>
      </c>
      <c r="E24" s="27">
        <f>SUM(E11:E14)</f>
        <v>61031389.399999999</v>
      </c>
      <c r="F24" s="6"/>
      <c r="G24" s="6"/>
      <c r="H24" s="66" t="s">
        <v>107</v>
      </c>
      <c r="I24" s="69">
        <f>E24/($I$26-I15)</f>
        <v>2.9769457748721253</v>
      </c>
      <c r="J24" s="13" t="str">
        <f>IF(I24&lt;1,"Liquidity Problem!","")</f>
        <v/>
      </c>
    </row>
    <row r="25" spans="2:10" ht="15" customHeight="1" x14ac:dyDescent="0.3">
      <c r="B25" s="66" t="s">
        <v>308</v>
      </c>
      <c r="C25" s="70">
        <f>C24+SUM(C15:C17)</f>
        <v>207336177</v>
      </c>
      <c r="D25" s="68">
        <f>IF(E25=0,0,E25/C25)</f>
        <v>0.7023149934900168</v>
      </c>
      <c r="E25" s="27">
        <f>E24+SUM(E15:E17)</f>
        <v>145615305.79999998</v>
      </c>
      <c r="F25" s="6"/>
      <c r="G25" s="6"/>
      <c r="H25" s="66" t="s">
        <v>108</v>
      </c>
      <c r="I25" s="69">
        <f>E25/$I$26</f>
        <v>0.57804911534654391</v>
      </c>
      <c r="J25" s="13" t="str">
        <f>IF(OR(I25&lt;0.75,C26&lt;I26),"Liquidity Problem!","")</f>
        <v>Liquidity Problem!</v>
      </c>
    </row>
    <row r="26" spans="2:10" ht="15" customHeight="1" x14ac:dyDescent="0.3">
      <c r="B26" s="5" t="s">
        <v>109</v>
      </c>
      <c r="C26" s="70">
        <f>SUM(C11:C22)</f>
        <v>311780523</v>
      </c>
      <c r="D26" s="14">
        <f t="shared" ref="D26" si="2">E26/C26</f>
        <v>0.64197936636343378</v>
      </c>
      <c r="E26" s="27">
        <f>SUM(E11:E22)</f>
        <v>200156662.59999999</v>
      </c>
      <c r="H26" s="5" t="s">
        <v>58</v>
      </c>
      <c r="I26" s="64">
        <v>251908189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240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3720845</v>
      </c>
      <c r="J28" s="6"/>
    </row>
    <row r="29" spans="2:10" ht="15" customHeight="1" x14ac:dyDescent="0.3">
      <c r="B29" s="5" t="s">
        <v>112</v>
      </c>
      <c r="C29" s="64">
        <v>602260</v>
      </c>
      <c r="D29" s="65">
        <v>0.85</v>
      </c>
      <c r="E29" s="27">
        <f t="shared" ref="E29:E40" si="3">C29*D29</f>
        <v>511921</v>
      </c>
      <c r="F29" s="6"/>
      <c r="G29" s="6"/>
      <c r="H29" s="5" t="s">
        <v>113</v>
      </c>
      <c r="I29" s="64">
        <v>1145012</v>
      </c>
      <c r="J29" s="6"/>
    </row>
    <row r="30" spans="2:10" ht="15" customHeight="1" x14ac:dyDescent="0.3">
      <c r="B30" s="5" t="s">
        <v>114</v>
      </c>
      <c r="C30" s="64">
        <f>2494158+423184</f>
        <v>2917342</v>
      </c>
      <c r="D30" s="65">
        <v>0.2</v>
      </c>
      <c r="E30" s="27">
        <f t="shared" si="3"/>
        <v>583468.4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f>8657835</f>
        <v>8657835</v>
      </c>
      <c r="D32" s="65">
        <v>0.4</v>
      </c>
      <c r="E32" s="27">
        <f t="shared" si="3"/>
        <v>3463134</v>
      </c>
      <c r="G32" s="6"/>
      <c r="H32" s="5" t="s">
        <v>118</v>
      </c>
      <c r="I32" s="155">
        <f>I42-SUM(I28:I31)</f>
        <v>17516968</v>
      </c>
      <c r="J32" s="6"/>
    </row>
    <row r="33" spans="2:10" ht="14" x14ac:dyDescent="0.3">
      <c r="B33" s="5" t="s">
        <v>119</v>
      </c>
      <c r="C33" s="64">
        <v>17816230</v>
      </c>
      <c r="D33" s="65">
        <v>0.8</v>
      </c>
      <c r="E33" s="220">
        <f t="shared" si="3"/>
        <v>14252984</v>
      </c>
      <c r="F33" s="204" t="s">
        <v>242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818157</v>
      </c>
      <c r="D34" s="65">
        <v>0.7</v>
      </c>
      <c r="E34" s="220">
        <f t="shared" si="3"/>
        <v>572709.89999999991</v>
      </c>
      <c r="F34" s="204" t="s">
        <v>242</v>
      </c>
      <c r="G34" s="94">
        <f>IF(F34="Y",0,1)</f>
        <v>1</v>
      </c>
    </row>
    <row r="35" spans="2:10" ht="14" x14ac:dyDescent="0.3">
      <c r="B35" s="3" t="s">
        <v>103</v>
      </c>
      <c r="C35" s="64">
        <v>0</v>
      </c>
      <c r="D35" s="65">
        <v>0.4</v>
      </c>
      <c r="E35" s="27">
        <f t="shared" si="3"/>
        <v>0</v>
      </c>
      <c r="F35" s="204" t="s">
        <v>242</v>
      </c>
      <c r="G35" s="94">
        <f>IF(F35="Y",0,1)</f>
        <v>1</v>
      </c>
    </row>
    <row r="36" spans="2:10" ht="15" customHeight="1" x14ac:dyDescent="0.3">
      <c r="B36" s="5" t="s">
        <v>306</v>
      </c>
      <c r="C36" s="64">
        <f>57446643+6594397+1381771</f>
        <v>65422811</v>
      </c>
      <c r="D36" s="65">
        <v>0.3</v>
      </c>
      <c r="E36" s="27">
        <f t="shared" si="3"/>
        <v>19626843.300000001</v>
      </c>
      <c r="F36" s="6"/>
      <c r="G36" s="6"/>
    </row>
    <row r="37" spans="2:10" ht="14" x14ac:dyDescent="0.3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f>16164121+746049</f>
        <v>16910170</v>
      </c>
      <c r="D38" s="65">
        <v>0.3</v>
      </c>
      <c r="E38" s="27">
        <f t="shared" si="3"/>
        <v>5073051</v>
      </c>
      <c r="F38" s="6"/>
      <c r="G38" s="6"/>
    </row>
    <row r="39" spans="2:10" ht="15" customHeight="1" x14ac:dyDescent="0.3">
      <c r="B39" s="5" t="s">
        <v>122</v>
      </c>
      <c r="C39" s="64">
        <v>3901296</v>
      </c>
      <c r="D39" s="65">
        <v>0.95</v>
      </c>
      <c r="E39" s="27">
        <f t="shared" si="3"/>
        <v>3706231.1999999997</v>
      </c>
      <c r="F39" s="6"/>
      <c r="G39" s="6"/>
    </row>
    <row r="40" spans="2:10" ht="15" customHeight="1" x14ac:dyDescent="0.3">
      <c r="B40" s="5" t="s">
        <v>123</v>
      </c>
      <c r="C40" s="64">
        <f>285782+218605+29255628</f>
        <v>29760015</v>
      </c>
      <c r="D40" s="65">
        <v>0.1</v>
      </c>
      <c r="E40" s="27">
        <f t="shared" si="3"/>
        <v>2976001.5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146806116</v>
      </c>
      <c r="D42" s="14">
        <f>E42/C42</f>
        <v>0.34580537707298242</v>
      </c>
      <c r="E42" s="27">
        <f>SUM(E28:E40)</f>
        <v>50766344.299999997</v>
      </c>
      <c r="F42" s="6"/>
      <c r="G42" s="6"/>
      <c r="H42" s="5" t="s">
        <v>125</v>
      </c>
      <c r="I42" s="64">
        <v>22382825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66965243</v>
      </c>
      <c r="D44" s="68">
        <f>IF(E44=0,0,E44/C44)</f>
        <v>0.9190336306253678</v>
      </c>
      <c r="E44" s="27">
        <f>E24+SUM(E28:E29)</f>
        <v>61543310.399999999</v>
      </c>
      <c r="F44" s="6"/>
      <c r="G44" s="6"/>
      <c r="H44" s="66" t="s">
        <v>127</v>
      </c>
      <c r="I44" s="69">
        <f>E44/(I46-I15-I32)</f>
        <v>2.4260977945497415</v>
      </c>
      <c r="J44" s="13" t="str">
        <f>IF(I44&lt;1,"Liquidity Problem!","")</f>
        <v/>
      </c>
    </row>
    <row r="45" spans="2:10" ht="15" customHeight="1" x14ac:dyDescent="0.3">
      <c r="B45" s="66" t="s">
        <v>128</v>
      </c>
      <c r="C45" s="70">
        <f>C44+(C25-C24)+SUM(C30:C33)</f>
        <v>237329844</v>
      </c>
      <c r="D45" s="68">
        <f>IF(E45=0,0,E45/C45)</f>
        <v>0.6928197921876188</v>
      </c>
      <c r="E45" s="27">
        <f>E44+(E25-E24)+SUM(E30:E33)</f>
        <v>164426813.19999999</v>
      </c>
      <c r="F45" s="6"/>
      <c r="G45" s="6"/>
      <c r="H45" s="66" t="s">
        <v>129</v>
      </c>
      <c r="I45" s="69">
        <f>E45/$I$46</f>
        <v>0.59946117374446684</v>
      </c>
      <c r="J45" s="13" t="str">
        <f>IF(OR(I45&lt;0.5,C46&lt;I46),"Liquidity Problem!","")</f>
        <v/>
      </c>
    </row>
    <row r="46" spans="2:10" ht="15" customHeight="1" x14ac:dyDescent="0.3">
      <c r="B46" s="5" t="s">
        <v>130</v>
      </c>
      <c r="C46" s="70">
        <f>C26+C42</f>
        <v>458586639</v>
      </c>
      <c r="D46" s="14">
        <f>E46/C46</f>
        <v>0.5471659781609991</v>
      </c>
      <c r="E46" s="27">
        <f>E26+E42</f>
        <v>250923006.89999998</v>
      </c>
      <c r="F46" s="6"/>
      <c r="G46" s="6"/>
      <c r="H46" s="5" t="s">
        <v>131</v>
      </c>
      <c r="I46" s="155">
        <f>I26+I42</f>
        <v>274291014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132</v>
      </c>
      <c r="C48" s="21"/>
      <c r="D48" s="52"/>
    </row>
    <row r="49" spans="2:9" ht="14" x14ac:dyDescent="0.3">
      <c r="B49" s="216" t="s">
        <v>208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207</v>
      </c>
      <c r="C50" s="218">
        <f>D4</f>
        <v>34968848</v>
      </c>
      <c r="D50" s="214">
        <f>IF(E50=0, 0,E50/C50)</f>
        <v>1</v>
      </c>
      <c r="E50" s="218">
        <f>MAX(C50,C50*Dashboard!I10)</f>
        <v>34968848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264</v>
      </c>
      <c r="C52" s="5"/>
      <c r="D52" s="429">
        <f>D53+D54+D55</f>
        <v>25367201</v>
      </c>
      <c r="E52" s="430"/>
      <c r="F52" s="53"/>
      <c r="G52" s="53"/>
    </row>
    <row r="53" spans="2:9" ht="14.5" thickTop="1" x14ac:dyDescent="0.3">
      <c r="B53" s="58" t="s">
        <v>234</v>
      </c>
      <c r="C53" s="6"/>
      <c r="D53" s="432">
        <f>SUM(I11:I13)+SUM(I28:I30)</f>
        <v>25367201</v>
      </c>
      <c r="E53" s="427"/>
      <c r="F53" s="5"/>
      <c r="G53" s="5"/>
      <c r="H53" s="3" t="s">
        <v>270</v>
      </c>
      <c r="I53" s="14">
        <f>D53/I3</f>
        <v>0.1698771078411476</v>
      </c>
    </row>
    <row r="54" spans="2:9" ht="14" x14ac:dyDescent="0.3">
      <c r="B54" s="58" t="s">
        <v>134</v>
      </c>
      <c r="C54" s="6"/>
      <c r="D54" s="439">
        <v>0</v>
      </c>
      <c r="E54" s="357"/>
      <c r="F54" s="6" t="s">
        <v>135</v>
      </c>
      <c r="G54" s="6"/>
    </row>
    <row r="55" spans="2:9" ht="12.75" customHeight="1" x14ac:dyDescent="0.3">
      <c r="B55" s="58" t="s">
        <v>133</v>
      </c>
      <c r="C55" s="6"/>
      <c r="D55" s="439">
        <v>0</v>
      </c>
      <c r="E55" s="357"/>
      <c r="F55" s="5" t="s">
        <v>136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137</v>
      </c>
      <c r="C57" s="5"/>
      <c r="D57" s="431"/>
      <c r="E57" s="431"/>
      <c r="F57" s="19"/>
      <c r="G57" s="19"/>
    </row>
    <row r="58" spans="2:9" ht="15" customHeight="1" x14ac:dyDescent="0.3">
      <c r="B58" s="53" t="s">
        <v>235</v>
      </c>
      <c r="C58" s="213">
        <f>C14+C15+(C19*G19)+(C20*G20)+C29+C30+(C33*G33)+(C34*G34)+(C35*G35)</f>
        <v>35482973</v>
      </c>
      <c r="D58" s="129">
        <f>IF(E58=0,0,E58/C58)</f>
        <v>0.6740831355929503</v>
      </c>
      <c r="E58" s="221">
        <f>E14+E15+(E19*G19)+(E20*G20)+E29+E30+(E33*G33)+(E34*G34)+(E35*G35)</f>
        <v>23918473.699999996</v>
      </c>
      <c r="H58" s="6"/>
    </row>
    <row r="59" spans="2:9" ht="14" x14ac:dyDescent="0.3">
      <c r="B59" s="53" t="s">
        <v>90</v>
      </c>
      <c r="C59" s="213">
        <f>C11+C12+C28</f>
        <v>53033999</v>
      </c>
      <c r="D59" s="214">
        <f>IF(E59=0,0,E59/C59)</f>
        <v>1</v>
      </c>
      <c r="E59" s="215">
        <f>E11+E12+E28</f>
        <v>53033999</v>
      </c>
      <c r="F59" s="6"/>
      <c r="G59" s="6"/>
    </row>
    <row r="60" spans="2:9" ht="14" x14ac:dyDescent="0.3">
      <c r="B60" s="53" t="s">
        <v>138</v>
      </c>
      <c r="C60" s="6"/>
      <c r="D60" s="437">
        <f>((Dashboard!I6*Data!C4)+D52+E50-C58-C59)</f>
        <v>90919362.965200007</v>
      </c>
      <c r="E60" s="438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263</v>
      </c>
    </row>
    <row r="63" spans="2:9" ht="15" customHeight="1" x14ac:dyDescent="0.3">
      <c r="B63" s="3" t="s">
        <v>266</v>
      </c>
      <c r="D63" s="435">
        <f>((C26-C11-C12-C14-C15-C16*G16-C19*G19-C20*G20)-I26)/Data!C7</f>
        <v>-2.8753814455569179E-2</v>
      </c>
      <c r="E63" s="436"/>
    </row>
    <row r="64" spans="2:9" ht="15" customHeight="1" x14ac:dyDescent="0.3">
      <c r="B64" s="3" t="s">
        <v>265</v>
      </c>
      <c r="D64" s="433">
        <v>1.32E-2</v>
      </c>
      <c r="E64" s="434"/>
      <c r="F64" s="265" t="s">
        <v>250</v>
      </c>
    </row>
    <row r="65" spans="2:5" ht="15" customHeight="1" x14ac:dyDescent="0.3">
      <c r="B65" s="291" t="s">
        <v>267</v>
      </c>
      <c r="D65" s="433">
        <f>D64</f>
        <v>1.32E-2</v>
      </c>
      <c r="E65" s="43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7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247</v>
      </c>
      <c r="C2" s="285" t="s">
        <v>261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1000CNY)</v>
      </c>
      <c r="C3" s="277">
        <f>Data!C3</f>
        <v>44561</v>
      </c>
      <c r="D3" s="28" t="s">
        <v>249</v>
      </c>
      <c r="E3" s="277">
        <f>EOMONTH(EDATE(C3,12),0)</f>
        <v>44926</v>
      </c>
      <c r="F3" s="28" t="s">
        <v>249</v>
      </c>
      <c r="G3" s="277">
        <f>IF(G9="","",EOMONTH(EDATE(E3,12),0))</f>
        <v>45291</v>
      </c>
      <c r="H3" s="28"/>
      <c r="I3" s="277">
        <f>IF(I20="","",EOMONTH(EDATE(G3,12),0))</f>
        <v>45657</v>
      </c>
      <c r="J3" s="296"/>
      <c r="L3" s="72" t="s">
        <v>139</v>
      </c>
    </row>
    <row r="4" spans="1:13" ht="15.75" customHeight="1" x14ac:dyDescent="0.3">
      <c r="B4" s="292" t="s">
        <v>311</v>
      </c>
      <c r="C4" s="293">
        <v>90685334</v>
      </c>
      <c r="D4" s="259">
        <f>C4/$C$8</f>
        <v>0.40173937424089934</v>
      </c>
      <c r="E4" s="293">
        <f>C4*(1-11.19%)</f>
        <v>80537645.125400007</v>
      </c>
      <c r="F4" s="259">
        <f>E4/$C$8</f>
        <v>0.35678473826334273</v>
      </c>
      <c r="G4" s="349">
        <f>C4*1.15</f>
        <v>104288134.09999999</v>
      </c>
      <c r="H4" s="259">
        <f>G4/$C$8</f>
        <v>0.46200028037703422</v>
      </c>
      <c r="I4" s="349">
        <f>G4*1.1</f>
        <v>114716947.51000001</v>
      </c>
      <c r="J4" s="259">
        <f>I4/$C$8</f>
        <v>0.50820030841473773</v>
      </c>
      <c r="K4" s="6"/>
      <c r="L4" s="74"/>
      <c r="M4" s="57"/>
    </row>
    <row r="5" spans="1:13" ht="15.75" customHeight="1" x14ac:dyDescent="0.3">
      <c r="B5" s="292" t="s">
        <v>312</v>
      </c>
      <c r="C5" s="293">
        <v>54555862</v>
      </c>
      <c r="D5" s="259">
        <f t="shared" ref="D5:D7" si="0">C5/$C$8</f>
        <v>0.24168448076789195</v>
      </c>
      <c r="E5" s="293">
        <f>C5*(1-7.53%)</f>
        <v>50447805.591399997</v>
      </c>
      <c r="F5" s="259">
        <f t="shared" ref="F5:H7" si="1">E5/$C$8</f>
        <v>0.22348563936606969</v>
      </c>
      <c r="G5" s="349">
        <f>E5</f>
        <v>50447805.591399997</v>
      </c>
      <c r="H5" s="259">
        <f t="shared" si="1"/>
        <v>0.22348563936606969</v>
      </c>
      <c r="I5" s="349">
        <f>C5</f>
        <v>54555862</v>
      </c>
      <c r="J5" s="259">
        <f t="shared" ref="J5" si="2">I5/$C$8</f>
        <v>0.24168448076789195</v>
      </c>
      <c r="K5" s="6"/>
      <c r="L5" s="74"/>
      <c r="M5" s="57"/>
    </row>
    <row r="6" spans="1:13" ht="15.75" customHeight="1" x14ac:dyDescent="0.3">
      <c r="B6" s="292" t="s">
        <v>313</v>
      </c>
      <c r="C6" s="293">
        <v>71820826</v>
      </c>
      <c r="D6" s="259">
        <f t="shared" si="0"/>
        <v>0.31816890804751863</v>
      </c>
      <c r="E6" s="293">
        <f>C6*(1.19)</f>
        <v>85466782.939999998</v>
      </c>
      <c r="F6" s="259">
        <f t="shared" si="1"/>
        <v>0.37862100057654713</v>
      </c>
      <c r="G6" s="349">
        <f>E6*0.9</f>
        <v>76920104.645999998</v>
      </c>
      <c r="H6" s="259">
        <f t="shared" si="1"/>
        <v>0.3407589005188924</v>
      </c>
      <c r="I6" s="349">
        <f>E6</f>
        <v>85466782.939999998</v>
      </c>
      <c r="J6" s="259">
        <f t="shared" ref="J6" si="3">I6/$C$8</f>
        <v>0.37862100057654713</v>
      </c>
      <c r="K6" s="6"/>
      <c r="L6" s="74"/>
      <c r="M6" s="57"/>
    </row>
    <row r="7" spans="1:13" ht="15.75" customHeight="1" x14ac:dyDescent="0.3">
      <c r="B7" s="292" t="s">
        <v>314</v>
      </c>
      <c r="C7" s="293">
        <v>8669733</v>
      </c>
      <c r="D7" s="259">
        <f t="shared" si="0"/>
        <v>3.8407236943690089E-2</v>
      </c>
      <c r="E7" s="293">
        <f>C7*(1-4.96%)</f>
        <v>8239714.2432000004</v>
      </c>
      <c r="F7" s="259">
        <f t="shared" si="1"/>
        <v>3.6502237991283062E-2</v>
      </c>
      <c r="G7" s="349">
        <f>E7</f>
        <v>8239714.2432000004</v>
      </c>
      <c r="H7" s="259">
        <f t="shared" si="1"/>
        <v>3.6502237991283062E-2</v>
      </c>
      <c r="I7" s="349">
        <v>8312338</v>
      </c>
      <c r="J7" s="259">
        <f t="shared" ref="J7" si="4">I7/$C$8</f>
        <v>3.6823963912387958E-2</v>
      </c>
      <c r="K7" s="6"/>
      <c r="L7" s="74"/>
      <c r="M7" s="57"/>
    </row>
    <row r="8" spans="1:13" ht="15.75" customHeight="1" x14ac:dyDescent="0.3">
      <c r="B8" s="5" t="s">
        <v>141</v>
      </c>
      <c r="C8" s="180">
        <f>SUM(C4:C7)</f>
        <v>225731755</v>
      </c>
      <c r="D8" s="258"/>
      <c r="E8" s="337">
        <f>SUM(E4:E7)</f>
        <v>224691947.90000001</v>
      </c>
      <c r="F8" s="258"/>
      <c r="G8" s="337">
        <f>SUM(G4:G7)</f>
        <v>239895758.58059999</v>
      </c>
      <c r="H8" s="258"/>
      <c r="I8" s="227">
        <f>SUM(I4:I7)</f>
        <v>263051930.44999999</v>
      </c>
      <c r="J8" s="287"/>
      <c r="K8" s="6"/>
      <c r="L8" s="74"/>
      <c r="M8" s="57"/>
    </row>
    <row r="9" spans="1:13" ht="15.75" customHeight="1" x14ac:dyDescent="0.3">
      <c r="B9" s="17" t="s">
        <v>140</v>
      </c>
      <c r="C9" s="187"/>
      <c r="D9" s="260"/>
      <c r="E9" s="18">
        <f>E8/C8-1</f>
        <v>-4.6063838027573523E-3</v>
      </c>
      <c r="F9" s="260"/>
      <c r="G9" s="73">
        <f>G8/E8-1</f>
        <v>6.7665133631608754E-2</v>
      </c>
      <c r="H9" s="260"/>
      <c r="I9" s="73">
        <f>I8/G8-1</f>
        <v>9.6525974474950926E-2</v>
      </c>
      <c r="J9" s="327"/>
      <c r="K9" s="6"/>
      <c r="L9" s="74"/>
      <c r="M9" s="57"/>
    </row>
    <row r="10" spans="1:13" ht="15.75" customHeight="1" x14ac:dyDescent="0.3">
      <c r="B10" s="292" t="s">
        <v>311</v>
      </c>
      <c r="C10" s="293">
        <v>69699352</v>
      </c>
      <c r="D10" s="259">
        <f>1-C10/C4</f>
        <v>0.23141539071797435</v>
      </c>
      <c r="E10" s="293">
        <f>E4*(1-F10)</f>
        <v>61899994.511200003</v>
      </c>
      <c r="F10" s="259">
        <f>D10</f>
        <v>0.23141539071797435</v>
      </c>
      <c r="G10" s="349">
        <f>G4*(1-H10)</f>
        <v>79258981.915999994</v>
      </c>
      <c r="H10" s="259">
        <v>0.24</v>
      </c>
      <c r="I10" s="349">
        <f>I4*(1-J10)</f>
        <v>86022055.464776218</v>
      </c>
      <c r="J10" s="286">
        <v>0.25013646778495757</v>
      </c>
      <c r="K10" s="6"/>
      <c r="L10" s="74"/>
      <c r="M10" s="57"/>
    </row>
    <row r="11" spans="1:13" ht="15.75" customHeight="1" x14ac:dyDescent="0.3">
      <c r="B11" s="292" t="s">
        <v>312</v>
      </c>
      <c r="C11" s="293">
        <v>43451544</v>
      </c>
      <c r="D11" s="259">
        <f t="shared" ref="D11:D13" si="5">1-C11/C5</f>
        <v>0.20354032716044335</v>
      </c>
      <c r="E11" s="293">
        <f t="shared" ref="E11:G13" si="6">E5*(1-F11)</f>
        <v>40179642.7368</v>
      </c>
      <c r="F11" s="259">
        <f t="shared" ref="F11:F13" si="7">D11</f>
        <v>0.20354032716044335</v>
      </c>
      <c r="G11" s="349">
        <f>C11</f>
        <v>43451544</v>
      </c>
      <c r="H11" s="259">
        <f t="shared" ref="H11" si="8">1-G11/G5</f>
        <v>0.13868316985016038</v>
      </c>
      <c r="I11" s="349">
        <f>E11</f>
        <v>40179642.7368</v>
      </c>
      <c r="J11" s="286">
        <v>0.20354032716044335</v>
      </c>
      <c r="K11" s="6"/>
      <c r="L11" s="74"/>
      <c r="M11" s="57"/>
    </row>
    <row r="12" spans="1:13" ht="15.75" customHeight="1" x14ac:dyDescent="0.3">
      <c r="B12" s="292" t="s">
        <v>313</v>
      </c>
      <c r="C12" s="293">
        <v>59899171</v>
      </c>
      <c r="D12" s="259">
        <f t="shared" si="5"/>
        <v>0.1659916164149936</v>
      </c>
      <c r="E12" s="293">
        <f t="shared" si="6"/>
        <v>71280013.489999995</v>
      </c>
      <c r="F12" s="259">
        <f t="shared" si="7"/>
        <v>0.1659916164149936</v>
      </c>
      <c r="G12" s="293">
        <f t="shared" si="6"/>
        <v>64152012.140999995</v>
      </c>
      <c r="H12" s="259">
        <f>F12</f>
        <v>0.1659916164149936</v>
      </c>
      <c r="I12" s="293">
        <f t="shared" ref="I12" si="9">I6*(1-J12)</f>
        <v>71280013.489999995</v>
      </c>
      <c r="J12" s="286">
        <v>0.1659916164149936</v>
      </c>
      <c r="K12" s="6"/>
      <c r="L12" s="74"/>
      <c r="M12" s="57"/>
    </row>
    <row r="13" spans="1:13" ht="15.75" customHeight="1" x14ac:dyDescent="0.3">
      <c r="B13" s="292" t="s">
        <v>314</v>
      </c>
      <c r="C13" s="293">
        <v>6253825</v>
      </c>
      <c r="D13" s="259">
        <f t="shared" si="5"/>
        <v>0.27866002332482442</v>
      </c>
      <c r="E13" s="293">
        <f t="shared" si="6"/>
        <v>5943635.2800000003</v>
      </c>
      <c r="F13" s="259">
        <f t="shared" si="7"/>
        <v>0.27866002332482442</v>
      </c>
      <c r="G13" s="349">
        <f>G7*(1-H13)</f>
        <v>6262182.8248320008</v>
      </c>
      <c r="H13" s="259">
        <v>0.24</v>
      </c>
      <c r="I13" s="349">
        <v>6696416</v>
      </c>
      <c r="J13" s="286">
        <v>0.1944004201946552</v>
      </c>
      <c r="K13" s="6"/>
      <c r="L13" s="74"/>
      <c r="M13" s="57"/>
    </row>
    <row r="14" spans="1:13" ht="15.75" customHeight="1" x14ac:dyDescent="0.3">
      <c r="B14" s="8" t="s">
        <v>142</v>
      </c>
      <c r="C14" s="181">
        <f>SUM(C10:C13)</f>
        <v>179303892</v>
      </c>
      <c r="D14" s="261"/>
      <c r="E14" s="226">
        <f>SUM(E10:E13)</f>
        <v>179303286.01799998</v>
      </c>
      <c r="F14" s="261"/>
      <c r="G14" s="281">
        <f>SUM(G10:G13)</f>
        <v>193124720.88183197</v>
      </c>
      <c r="H14" s="261"/>
      <c r="I14" s="281">
        <f>IF(I8="","",SUM(I10:I13))</f>
        <v>204178127.69157621</v>
      </c>
      <c r="J14" s="328"/>
      <c r="K14" s="6"/>
      <c r="L14" s="116"/>
      <c r="M14" s="1"/>
    </row>
    <row r="15" spans="1:13" ht="15.75" customHeight="1" x14ac:dyDescent="0.3">
      <c r="B15" s="17" t="s">
        <v>48</v>
      </c>
      <c r="C15" s="73">
        <f>(C8-C14)/C8</f>
        <v>0.20567714542422266</v>
      </c>
      <c r="D15" s="186"/>
      <c r="E15" s="73">
        <f>(E8-E14)/E8</f>
        <v>0.20200395388534539</v>
      </c>
      <c r="F15" s="186"/>
      <c r="G15" s="73">
        <f>(G8-G14)/G8</f>
        <v>0.19496400426376825</v>
      </c>
      <c r="H15" s="186"/>
      <c r="I15" s="73">
        <f>(I8-I14)/I8</f>
        <v>0.22381057100667925</v>
      </c>
      <c r="J15" s="329"/>
      <c r="K15" s="6"/>
      <c r="L15" s="74"/>
    </row>
    <row r="16" spans="1:13" ht="15.75" customHeight="1" x14ac:dyDescent="0.3">
      <c r="B16" s="5" t="s">
        <v>143</v>
      </c>
      <c r="C16" s="27">
        <f>C8-C14</f>
        <v>46427863</v>
      </c>
      <c r="D16" s="27"/>
      <c r="E16" s="27">
        <f>E8-E14</f>
        <v>45388661.882000029</v>
      </c>
      <c r="F16" s="27"/>
      <c r="G16" s="27">
        <f>IF(G9="","",G8-G14)</f>
        <v>46771037.69876802</v>
      </c>
      <c r="H16" s="27"/>
      <c r="I16" s="27">
        <f>IF(I9="","",I8-I14)</f>
        <v>58873802.758423775</v>
      </c>
      <c r="J16" s="241"/>
      <c r="K16" s="6"/>
      <c r="L16" s="74"/>
    </row>
    <row r="17" spans="2:13" ht="15.75" customHeight="1" x14ac:dyDescent="0.3">
      <c r="B17" s="17" t="s">
        <v>50</v>
      </c>
      <c r="C17" s="189">
        <f>C18/C8</f>
        <v>9.1903852871741507E-2</v>
      </c>
      <c r="D17" s="189"/>
      <c r="E17" s="225">
        <f>C17</f>
        <v>9.1903852871741507E-2</v>
      </c>
      <c r="F17" s="189"/>
      <c r="G17" s="65">
        <v>9.1499999999999998E-2</v>
      </c>
      <c r="H17" s="189"/>
      <c r="I17" s="65">
        <v>9.1499999999999998E-2</v>
      </c>
      <c r="J17" s="330"/>
      <c r="K17" s="6"/>
      <c r="L17" s="74"/>
    </row>
    <row r="18" spans="2:13" ht="15.75" customHeight="1" x14ac:dyDescent="0.3">
      <c r="B18" s="8" t="s">
        <v>144</v>
      </c>
      <c r="C18" s="183">
        <f>7264149+13481469</f>
        <v>20745618</v>
      </c>
      <c r="D18" s="262"/>
      <c r="E18" s="76">
        <f>E8*E17</f>
        <v>20650055.721266609</v>
      </c>
      <c r="F18" s="262"/>
      <c r="G18" s="76">
        <f>G8*G17</f>
        <v>21950461.910124898</v>
      </c>
      <c r="H18" s="262"/>
      <c r="I18" s="76">
        <f>I8*I17</f>
        <v>24069251.636174999</v>
      </c>
      <c r="J18" s="331"/>
      <c r="K18" s="6"/>
      <c r="L18" s="74"/>
    </row>
    <row r="19" spans="2:13" ht="15.75" customHeight="1" x14ac:dyDescent="0.3">
      <c r="B19" s="17" t="s">
        <v>51</v>
      </c>
      <c r="C19" s="18">
        <f>C21/C8</f>
        <v>0.11377329255248116</v>
      </c>
      <c r="D19" s="18"/>
      <c r="E19" s="18">
        <f>E21/E8</f>
        <v>0.11010010101360387</v>
      </c>
      <c r="F19" s="18"/>
      <c r="G19" s="18">
        <f>IF(G9="","",G21/G8)</f>
        <v>0.10346400426376827</v>
      </c>
      <c r="H19" s="18"/>
      <c r="I19" s="18">
        <f>IF(I9="","",I21/I8)</f>
        <v>0.13231057100667926</v>
      </c>
      <c r="J19" s="230"/>
      <c r="K19" s="6"/>
      <c r="L19" s="74"/>
      <c r="M19" s="57"/>
    </row>
    <row r="20" spans="2:13" ht="15.75" customHeight="1" x14ac:dyDescent="0.3">
      <c r="B20" s="17" t="s">
        <v>145</v>
      </c>
      <c r="C20" s="188"/>
      <c r="D20" s="263"/>
      <c r="E20" s="14">
        <f>IF(ABS(C21+E21)=ABS(C21)+ABS(E21),IF(E21&lt;0,-1,1)*(E21-C21)/C21,"Turn")</f>
        <v>-3.6742848581445262E-2</v>
      </c>
      <c r="F20" s="263"/>
      <c r="G20" s="14">
        <f>IF(G9="","",IF(ABS(E21+G21)=ABS(E21)+ABS(G21),IF(G21&lt;0,-1,1)*(G21-E21)/E21,"Turn"))</f>
        <v>3.3134295189115532E-3</v>
      </c>
      <c r="H20" s="263"/>
      <c r="I20" s="14">
        <f>IF(I9="","",IF(ABS(G21+I21)=ABS(G21)+ABS(I21),IF(I21&lt;0,-1,1)*(I21-G21)/G21,"Turn"))</f>
        <v>0.40224591962020123</v>
      </c>
      <c r="J20" s="332"/>
      <c r="K20" s="6"/>
      <c r="L20" s="77"/>
      <c r="M20" s="78"/>
    </row>
    <row r="21" spans="2:13" ht="15.75" customHeight="1" x14ac:dyDescent="0.3">
      <c r="B21" s="134" t="s">
        <v>245</v>
      </c>
      <c r="C21" s="319">
        <f>C16-C18</f>
        <v>25682245</v>
      </c>
      <c r="D21" s="320"/>
      <c r="E21" s="319">
        <f>E16-E18</f>
        <v>24738606.16073342</v>
      </c>
      <c r="F21" s="320"/>
      <c r="G21" s="319">
        <f>IF(G9="","",G16-G18)</f>
        <v>24820575.788643122</v>
      </c>
      <c r="H21" s="320"/>
      <c r="I21" s="319">
        <f>IF(I9="","",I16-I18)</f>
        <v>34804551.122248776</v>
      </c>
      <c r="J21" s="333"/>
      <c r="K21" s="6"/>
      <c r="L21" s="79"/>
      <c r="M21" s="56"/>
    </row>
    <row r="22" spans="2:13" ht="15.75" customHeight="1" x14ac:dyDescent="0.3">
      <c r="B22" s="315" t="s">
        <v>146</v>
      </c>
      <c r="C22" s="316">
        <v>0.25</v>
      </c>
      <c r="D22" s="317"/>
      <c r="E22" s="318">
        <f>IF(E21="","",C22)</f>
        <v>0.25</v>
      </c>
      <c r="F22" s="318"/>
      <c r="G22" s="318">
        <f>IF(G21="","",E22)</f>
        <v>0.25</v>
      </c>
      <c r="H22" s="318"/>
      <c r="I22" s="318">
        <f>IF(I21="","",G22)</f>
        <v>0.25</v>
      </c>
      <c r="J22" s="334"/>
    </row>
    <row r="23" spans="2:13" ht="15.75" customHeight="1" x14ac:dyDescent="0.3">
      <c r="B23" s="324" t="s">
        <v>316</v>
      </c>
      <c r="C23" s="263">
        <f>C24/C8</f>
        <v>8.5329969414360871E-2</v>
      </c>
      <c r="D23" s="326"/>
      <c r="E23" s="325">
        <f>E24/E8</f>
        <v>8.2575075760202912E-2</v>
      </c>
      <c r="F23" s="325"/>
      <c r="G23" s="325">
        <f>IF(G8="","",G24/G8)</f>
        <v>7.7598003197826199E-2</v>
      </c>
      <c r="H23" s="325"/>
      <c r="I23" s="325">
        <f>IF(I8="","",I24/I8)</f>
        <v>9.9232928255009442E-2</v>
      </c>
      <c r="J23" s="335"/>
    </row>
    <row r="24" spans="2:13" ht="15.75" customHeight="1" x14ac:dyDescent="0.3">
      <c r="B24" s="321" t="s">
        <v>79</v>
      </c>
      <c r="C24" s="322">
        <f>IF(C21&lt;=0,C21,C21*(1-C22))</f>
        <v>19261683.75</v>
      </c>
      <c r="D24" s="322"/>
      <c r="E24" s="323">
        <f>IF(E21="","",IF(E21&lt;=0,E21,E21*(1-E22)))</f>
        <v>18553954.620550066</v>
      </c>
      <c r="F24" s="322"/>
      <c r="G24" s="323">
        <f>IF(G21="","",IF(G21&lt;=0,G21,G21*(1-G22)))</f>
        <v>18615431.841482341</v>
      </c>
      <c r="H24" s="322"/>
      <c r="I24" s="323">
        <f>IF(I21="","",IF(I21&lt;=0,I21,I21*(1-I22)))</f>
        <v>26103413.341686584</v>
      </c>
      <c r="J24" s="336"/>
    </row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</sheetData>
  <conditionalFormatting sqref="G19:H21 H18 G14:I14 G16:H17 H15 G9:I9 I16:I21">
    <cfRule type="containsBlanks" dxfId="6" priority="8">
      <formula>LEN(TRIM(G9))=0</formula>
    </cfRule>
    <cfRule type="containsBlanks" priority="9">
      <formula>LEN(TRIM(G9))=0</formula>
    </cfRule>
  </conditionalFormatting>
  <conditionalFormatting sqref="I9 I17">
    <cfRule type="containsBlanks" dxfId="5" priority="6">
      <formula>LEN(TRIM(I9))=0</formula>
    </cfRule>
    <cfRule type="containsBlanks" priority="7">
      <formula>LEN(TRIM(I9))=0</formula>
    </cfRule>
  </conditionalFormatting>
  <conditionalFormatting sqref="J9 J14:J21">
    <cfRule type="containsBlanks" dxfId="4" priority="4">
      <formula>LEN(TRIM(J9))=0</formula>
    </cfRule>
    <cfRule type="containsBlanks" priority="5">
      <formula>LEN(TRIM(J9))=0</formula>
    </cfRule>
  </conditionalFormatting>
  <conditionalFormatting sqref="E22:E24 G24 I24">
    <cfRule type="containsBlanks" dxfId="3" priority="2">
      <formula>LEN(TRIM(E22))=0</formula>
    </cfRule>
  </conditionalFormatting>
  <conditionalFormatting sqref="G14:J14 H15 J15 G9:J9 G16:J24">
    <cfRule type="containsBlanks" dxfId="2" priority="1">
      <formula>LEN(TRIM(G9))=0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22" zoomScaleNormal="100" zoomScalePageLayoutView="80" workbookViewId="0">
      <selection activeCell="D26" sqref="D2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223</v>
      </c>
      <c r="C2" s="285" t="s">
        <v>261</v>
      </c>
      <c r="D2" s="285">
        <v>1</v>
      </c>
      <c r="E2" s="285">
        <v>2</v>
      </c>
      <c r="F2" s="285">
        <v>3</v>
      </c>
      <c r="G2" s="285" t="str">
        <f>B24</f>
        <v>Exit after Year 3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7">
        <f>Operation!C3</f>
        <v>44561</v>
      </c>
      <c r="D3" s="277">
        <f>Operation!E3</f>
        <v>44926</v>
      </c>
      <c r="E3" s="277">
        <f>Operation!G3</f>
        <v>45291</v>
      </c>
      <c r="F3" s="277">
        <f>Operation!I3</f>
        <v>45657</v>
      </c>
      <c r="G3" s="28" t="s">
        <v>259</v>
      </c>
      <c r="I3" s="72" t="s">
        <v>139</v>
      </c>
    </row>
    <row r="4" spans="1:10" ht="15.75" customHeight="1" x14ac:dyDescent="0.3">
      <c r="B4" s="5" t="s">
        <v>79</v>
      </c>
      <c r="C4" s="182">
        <f>Operation!C24</f>
        <v>19261683.75</v>
      </c>
      <c r="D4" s="45">
        <f>Operation!E24</f>
        <v>18553954.620550066</v>
      </c>
      <c r="E4" s="45">
        <f>Operation!G24</f>
        <v>18615431.841482341</v>
      </c>
      <c r="F4" s="201">
        <f>Operation!I24</f>
        <v>26103413.341686584</v>
      </c>
      <c r="G4" s="303">
        <f>IF(F3="",IF(E3="",1,2),3)</f>
        <v>3</v>
      </c>
      <c r="H4" s="6"/>
      <c r="I4" s="79"/>
      <c r="J4" s="56"/>
    </row>
    <row r="5" spans="1:10" ht="15.75" customHeight="1" x14ac:dyDescent="0.3">
      <c r="B5" s="17" t="s">
        <v>276</v>
      </c>
      <c r="C5" s="256"/>
      <c r="D5" s="257">
        <f>D4/C4-1</f>
        <v>-3.6742848581445164E-2</v>
      </c>
      <c r="E5" s="257">
        <f>IF(E4="","",E4/D4-1)</f>
        <v>3.3134295189114482E-3</v>
      </c>
      <c r="F5" s="257">
        <f>IF(F4="","",F4/E4-1)</f>
        <v>0.40224591962020129</v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0.39560000000000001</v>
      </c>
      <c r="D6" s="225">
        <f>C6</f>
        <v>0.39560000000000001</v>
      </c>
      <c r="E6" s="65">
        <f>D6</f>
        <v>0.39560000000000001</v>
      </c>
      <c r="F6" s="308">
        <f>E6</f>
        <v>0.39560000000000001</v>
      </c>
      <c r="G6" s="199"/>
      <c r="H6" s="6"/>
      <c r="I6" s="77"/>
    </row>
    <row r="7" spans="1:10" ht="15" customHeight="1" thickBot="1" x14ac:dyDescent="0.35">
      <c r="B7" s="81" t="s">
        <v>268</v>
      </c>
      <c r="C7" s="309">
        <f>C4*C6</f>
        <v>7619922.0915000001</v>
      </c>
      <c r="D7" s="309">
        <f>D4*D6</f>
        <v>7339944.4478896065</v>
      </c>
      <c r="E7" s="310">
        <f>E4*E6</f>
        <v>7364264.8364904141</v>
      </c>
      <c r="F7" s="310">
        <f>F4*F6</f>
        <v>10326510.317971213</v>
      </c>
      <c r="G7" s="200"/>
      <c r="H7" s="82"/>
      <c r="I7" s="56"/>
      <c r="J7" s="56"/>
    </row>
    <row r="8" spans="1:10" ht="15.75" customHeight="1" thickTop="1" x14ac:dyDescent="0.3">
      <c r="B8" s="17" t="s">
        <v>147</v>
      </c>
      <c r="C8" s="192">
        <f>IF(C4="","",C4-C7)</f>
        <v>11641761.658500001</v>
      </c>
      <c r="D8" s="191">
        <f>D4-D7</f>
        <v>11214010.172660459</v>
      </c>
      <c r="E8" s="191">
        <f>IF(E4="","",E4-E7)</f>
        <v>11251167.004991926</v>
      </c>
      <c r="F8" s="191">
        <f>IF(F4="","",F4-F7)</f>
        <v>15776903.023715371</v>
      </c>
      <c r="G8" s="228">
        <f>IF(F4="",IF(E4="",D8,E8),F8)</f>
        <v>15776903.023715371</v>
      </c>
      <c r="H8" s="82"/>
      <c r="I8" s="56"/>
      <c r="J8" s="56"/>
    </row>
    <row r="9" spans="1:10" ht="15.75" customHeight="1" x14ac:dyDescent="0.3">
      <c r="B9" s="203" t="s">
        <v>216</v>
      </c>
      <c r="C9" s="193">
        <f>C8/(Common_Shares/Data!$C$4)</f>
        <v>0.4056523499607021</v>
      </c>
      <c r="D9" s="305">
        <f>D8/(Common_Shares/Data!$C$4)</f>
        <v>0.39074752708938854</v>
      </c>
      <c r="E9" s="305">
        <f>IF(E8="","",E8/(Common_Shares/Data!$C$4))</f>
        <v>0.39204224148008815</v>
      </c>
      <c r="F9" s="305">
        <f>IF(F8="","",F8/(Common_Shares/Data!$C$4))</f>
        <v>0.54973963343421128</v>
      </c>
      <c r="G9" s="306">
        <f>G8*Data!C$4/Dashboard!I5</f>
        <v>0.54973963343421139</v>
      </c>
      <c r="H9" s="82"/>
      <c r="I9" s="56"/>
      <c r="J9" s="56"/>
    </row>
    <row r="10" spans="1:10" ht="15.75" customHeight="1" x14ac:dyDescent="0.3">
      <c r="B10" s="233" t="s">
        <v>246</v>
      </c>
      <c r="C10" s="311">
        <f>C11/C9</f>
        <v>0.44372971096417324</v>
      </c>
      <c r="D10" s="311">
        <f>D11/D9</f>
        <v>0.46065550648724302</v>
      </c>
      <c r="E10" s="343"/>
      <c r="F10" s="343"/>
      <c r="G10" s="234"/>
      <c r="H10" s="82"/>
      <c r="I10" s="56"/>
      <c r="J10" s="56"/>
    </row>
    <row r="11" spans="1:10" ht="15.75" customHeight="1" x14ac:dyDescent="0.3">
      <c r="B11" s="233" t="s">
        <v>260</v>
      </c>
      <c r="C11" s="283">
        <v>0.18</v>
      </c>
      <c r="D11" s="284">
        <v>0.18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277</v>
      </c>
      <c r="C12" s="235">
        <v>0</v>
      </c>
      <c r="D12" s="235">
        <f>D11</f>
        <v>0.18</v>
      </c>
      <c r="E12" s="345"/>
      <c r="F12" s="345"/>
      <c r="G12" s="229">
        <f>G9*D26</f>
        <v>5.4973963343421142</v>
      </c>
      <c r="H12" s="82"/>
      <c r="I12" s="56"/>
      <c r="J12" s="56"/>
    </row>
    <row r="13" spans="1:10" ht="15.75" customHeight="1" x14ac:dyDescent="0.3">
      <c r="B13" s="17" t="s">
        <v>148</v>
      </c>
      <c r="C13" s="190"/>
      <c r="D13" s="222">
        <f ca="1">Dashboard!C12</f>
        <v>0.08</v>
      </c>
      <c r="E13" s="18">
        <f ca="1">IF(E4="","",D13)</f>
        <v>0.08</v>
      </c>
      <c r="F13" s="18">
        <f ca="1">IF(F4="","",D13)</f>
        <v>0.08</v>
      </c>
      <c r="G13" s="230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149</v>
      </c>
      <c r="C14" s="114"/>
      <c r="D14" s="223">
        <f ca="1">IF(D4="","",1+D13)</f>
        <v>1.08</v>
      </c>
      <c r="E14" s="224">
        <f ca="1">IF(E4="","",(1+D13)*(1+E13))</f>
        <v>1.1664000000000001</v>
      </c>
      <c r="F14" s="224">
        <f ca="1">IF(F4="","",(1+D13)*(1+E13)*(1+F13))</f>
        <v>1.2597120000000002</v>
      </c>
      <c r="G14" s="231">
        <f ca="1">IF(F4="",IF(E4="",D14,E14),F14)*(1+G13)</f>
        <v>1.3604889600000003</v>
      </c>
      <c r="H14" s="62"/>
      <c r="I14" s="57"/>
      <c r="J14" s="57"/>
    </row>
    <row r="15" spans="1:10" ht="15.75" customHeight="1" thickTop="1" x14ac:dyDescent="0.3">
      <c r="B15" s="8" t="s">
        <v>304</v>
      </c>
      <c r="C15" s="236">
        <f>C12</f>
        <v>0</v>
      </c>
      <c r="D15" s="195">
        <f ca="1">IF(D12="","",MAX(D9-D11+D12,D12)/D14)</f>
        <v>0.36180326582350786</v>
      </c>
      <c r="E15" s="196">
        <f ca="1">IF(E9="","",E9/E14)</f>
        <v>0.33611303281900556</v>
      </c>
      <c r="F15" s="196">
        <f ca="1">IF(F9="","",F9/F14)</f>
        <v>0.43640104518668649</v>
      </c>
      <c r="G15" s="232">
        <f ca="1">IF(G12=0,0,G12/G14)</f>
        <v>4.0407504183952456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219</v>
      </c>
      <c r="C17" s="194" t="str">
        <f>B3</f>
        <v>(Numbers in 1000CNY)</v>
      </c>
      <c r="E17" s="72" t="s">
        <v>220</v>
      </c>
    </row>
    <row r="18" spans="1:9" ht="15.75" customHeight="1" x14ac:dyDescent="0.3">
      <c r="B18" s="58" t="s">
        <v>239</v>
      </c>
      <c r="C18" s="84">
        <f>Asset_Model!E59</f>
        <v>53033999</v>
      </c>
      <c r="D18" s="219">
        <f>C18/(Dashboard!I5/Data!C4)</f>
        <v>1.8479476691962653</v>
      </c>
      <c r="E18" s="85" t="s">
        <v>236</v>
      </c>
      <c r="G18" s="137">
        <f>C18+C19+C20+C21</f>
        <v>16616423.699999988</v>
      </c>
    </row>
    <row r="19" spans="1:9" ht="15.75" customHeight="1" x14ac:dyDescent="0.3">
      <c r="B19" s="58" t="s">
        <v>243</v>
      </c>
      <c r="C19" s="84">
        <f>Asset_Model!E58</f>
        <v>23918473.699999996</v>
      </c>
      <c r="D19" s="219">
        <f>C19/(Dashboard!I5/Data!C4)</f>
        <v>0.8334292823109033</v>
      </c>
      <c r="E19" s="85" t="s">
        <v>237</v>
      </c>
      <c r="G19" s="197">
        <f>G18*Data!C$4/Dashboard!I5</f>
        <v>0.57899238273154852</v>
      </c>
    </row>
    <row r="20" spans="1:9" ht="15.75" customHeight="1" x14ac:dyDescent="0.3">
      <c r="B20" s="58" t="s">
        <v>221</v>
      </c>
      <c r="C20" s="84">
        <f>-Asset_Model!D52</f>
        <v>-25367201</v>
      </c>
      <c r="D20" s="219">
        <f>C20/(Dashboard!I5/Data!C4)</f>
        <v>-0.88390958339730652</v>
      </c>
      <c r="E20" s="442" t="str">
        <f>IF(F21+G21=G19,"⇒","Error!")</f>
        <v>⇒</v>
      </c>
      <c r="F20" s="146" t="s">
        <v>244</v>
      </c>
      <c r="G20" s="87" t="s">
        <v>23</v>
      </c>
    </row>
    <row r="21" spans="1:9" ht="15.75" customHeight="1" x14ac:dyDescent="0.3">
      <c r="B21" s="85" t="s">
        <v>238</v>
      </c>
      <c r="C21" s="84">
        <f>-Asset_Model!E50</f>
        <v>-34968848</v>
      </c>
      <c r="D21" s="219">
        <f>C21/(Dashboard!I5/Data!C4)</f>
        <v>-1.2184749853783132</v>
      </c>
      <c r="E21" s="442"/>
      <c r="F21" s="148">
        <f>D18</f>
        <v>1.8479476691962653</v>
      </c>
      <c r="G21" s="147">
        <f>SUM(D19:D21)</f>
        <v>-1.2689552864647164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222</v>
      </c>
      <c r="C23" s="194" t="str">
        <f>B3</f>
        <v>(Numbers in 1000CNY)</v>
      </c>
      <c r="E23" s="445" t="s">
        <v>229</v>
      </c>
      <c r="F23" s="445"/>
      <c r="G23" s="445"/>
    </row>
    <row r="24" spans="1:9" ht="15.75" customHeight="1" x14ac:dyDescent="0.3">
      <c r="B24" s="127" t="str">
        <f>"Exit after Year "&amp;G4</f>
        <v>Exit after Year 3</v>
      </c>
      <c r="C24" s="127" t="s">
        <v>225</v>
      </c>
      <c r="D24" s="202" t="s">
        <v>218</v>
      </c>
      <c r="E24" s="304" t="s">
        <v>226</v>
      </c>
      <c r="F24" s="264" t="s">
        <v>228</v>
      </c>
      <c r="G24" s="264" t="s">
        <v>227</v>
      </c>
      <c r="I24" s="86" t="s">
        <v>139</v>
      </c>
    </row>
    <row r="25" spans="1:9" ht="15.75" customHeight="1" x14ac:dyDescent="0.3">
      <c r="B25" s="30" t="s">
        <v>299</v>
      </c>
      <c r="C25" s="14">
        <f>1/D25</f>
        <v>0.16666666666666666</v>
      </c>
      <c r="D25" s="297">
        <v>6</v>
      </c>
      <c r="E25" s="206">
        <f ca="1">G9*D25/G14</f>
        <v>2.4244502510371473</v>
      </c>
      <c r="F25" s="443">
        <f ca="1">SUM(C15:F15)</f>
        <v>1.1343173438291998</v>
      </c>
      <c r="G25" s="206">
        <f ca="1">$F$25+E25+$G$19</f>
        <v>4.137759977597895</v>
      </c>
      <c r="I25" s="74"/>
    </row>
    <row r="26" spans="1:9" ht="15.75" customHeight="1" x14ac:dyDescent="0.3">
      <c r="B26" s="301" t="s">
        <v>300</v>
      </c>
      <c r="C26" s="302">
        <f t="shared" ref="C26" si="0">1/D26</f>
        <v>0.1</v>
      </c>
      <c r="D26" s="314">
        <v>10</v>
      </c>
      <c r="E26" s="207">
        <f ca="1">G9*D26/G14</f>
        <v>4.0407504183952456</v>
      </c>
      <c r="F26" s="444"/>
      <c r="G26" s="207">
        <f ca="1">$F$25+E26+$G$19</f>
        <v>5.7540601449559938</v>
      </c>
      <c r="I26" s="74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49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150</v>
      </c>
      <c r="C29" s="251">
        <f ca="1">MIN(Asset_Model!D7,G25*Exchange_Rate)+(ABS(Asset_Model!D7-G25*Exchange_Rate)*'Qualitative Analysis'!E8)*Exchange_Rate</f>
        <v>1.7221669251914855</v>
      </c>
      <c r="D29" s="23" t="str">
        <f ca="1">IF(C29&lt;E29,"&lt;",IF(C29=E29,"=","&gt;"))</f>
        <v>&lt;</v>
      </c>
      <c r="E29" s="250">
        <f ca="1">G26*Exchange_Rate</f>
        <v>6.5622743453293415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40" t="s">
        <v>151</v>
      </c>
      <c r="D31" s="441"/>
      <c r="E31" s="30" t="s">
        <v>217</v>
      </c>
      <c r="F31" s="30" t="s">
        <v>18</v>
      </c>
      <c r="G31" s="30"/>
      <c r="H31" s="6"/>
    </row>
    <row r="32" spans="1:9" ht="15.75" customHeight="1" x14ac:dyDescent="0.3">
      <c r="B32" s="255" t="s">
        <v>231</v>
      </c>
      <c r="C32" s="252">
        <f ca="1">MIN(C29,E29)+ABS(C29-E29)*'Qualitative Analysis'!$E$64</f>
        <v>3.5279056407623042</v>
      </c>
      <c r="D32" s="119" t="str">
        <f>Dashboard!J4</f>
        <v>HKD</v>
      </c>
      <c r="E32" s="120">
        <f ca="1">(C32-G19)/C9</f>
        <v>7.2695579313578094</v>
      </c>
      <c r="F32" s="158">
        <f ca="1">C32/(Data!C28*Exchange_Rate*Data!C4/Common_Shares)</f>
        <v>0.48700705176647668</v>
      </c>
      <c r="G32" s="87"/>
      <c r="H32" s="6"/>
      <c r="I32" s="74"/>
    </row>
    <row r="33" spans="2:7" ht="15.75" customHeight="1" x14ac:dyDescent="0.3">
      <c r="B33" s="254" t="s">
        <v>230</v>
      </c>
      <c r="C33" s="253">
        <f ca="1">MAX(Asset_Model!D7,(G12/(1+G33)^G4+F25+G19)*Exchange_Rate)</f>
        <v>7.0148193325324302</v>
      </c>
      <c r="D33" s="208" t="str">
        <f>D32</f>
        <v>HKD</v>
      </c>
      <c r="E33" s="120">
        <f ca="1">(C33-G19)/C9</f>
        <v>15.865375734725456</v>
      </c>
      <c r="F33" s="158">
        <f ca="1">C33/(Data!C28*Exchange_Rate*Data!C4/Common_Shares)</f>
        <v>0.9683554011022022</v>
      </c>
      <c r="G33" s="280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13:F15 E4:F9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59" sqref="E5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152</v>
      </c>
      <c r="C2" s="95"/>
      <c r="D2" s="12"/>
      <c r="E2" s="12"/>
      <c r="G2" s="72" t="s">
        <v>139</v>
      </c>
    </row>
    <row r="3" spans="1:7" ht="14" x14ac:dyDescent="0.3">
      <c r="B3" s="6" t="s">
        <v>281</v>
      </c>
      <c r="C3" s="96"/>
      <c r="D3" s="94">
        <f>IF(E3="Strongly disagree",0,IF(E3="disagree",1,IF(E3="unclear",2,IF(E3="agree",3,4))))</f>
        <v>3</v>
      </c>
      <c r="E3" s="31" t="s">
        <v>154</v>
      </c>
      <c r="G3" s="79" t="s">
        <v>317</v>
      </c>
    </row>
    <row r="4" spans="1:7" ht="14" x14ac:dyDescent="0.3">
      <c r="B4" s="6" t="s">
        <v>284</v>
      </c>
      <c r="C4" s="96"/>
      <c r="D4" s="94">
        <f t="shared" ref="D4" si="0">IF(E4="Strongly disagree",0,IF(E4="disagree",1,IF(E4="unclear",2,IF(E4="agree",3,4))))</f>
        <v>0</v>
      </c>
      <c r="E4" s="31" t="s">
        <v>176</v>
      </c>
      <c r="G4" s="77"/>
    </row>
    <row r="5" spans="1:7" ht="14" x14ac:dyDescent="0.3">
      <c r="B5" s="6" t="s">
        <v>278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279</v>
      </c>
      <c r="C6" s="96"/>
      <c r="D6" s="94">
        <f>AVERAGE(D24:D28)</f>
        <v>1</v>
      </c>
      <c r="E6" s="102" t="str">
        <f>IF(D6&gt;=3.5,"Strongly agree",IF(D6&gt;=2.5,"agree",IF(D6&gt;=1.5,"unclear",IF(D6&gt;=0.5,"disagree","Strongly disagree"))))</f>
        <v>disagree</v>
      </c>
      <c r="G6" s="77"/>
    </row>
    <row r="7" spans="1:7" ht="14" x14ac:dyDescent="0.3">
      <c r="B7" s="6" t="s">
        <v>280</v>
      </c>
      <c r="C7" s="96"/>
      <c r="D7" s="100">
        <f>IF(E7="Strongly disagree",0,IF(E7="disagree",1,IF(E7="unclear",2,IF(E7="agree",3,4))))</f>
        <v>1</v>
      </c>
      <c r="E7" s="101" t="str">
        <f>IF(D64&gt;=3.5,"Strongly agree",IF(D64&gt;=2.5,"agree",IF(D64&gt;=1.5,"unclear",IF(D64&gt;=0.5,"disagree","Strongly disagree"))))</f>
        <v>disagree</v>
      </c>
      <c r="G7" s="79"/>
    </row>
    <row r="8" spans="1:7" ht="14" x14ac:dyDescent="0.3">
      <c r="B8" s="97" t="s">
        <v>155</v>
      </c>
      <c r="C8" s="96"/>
      <c r="D8" s="94">
        <f>AVERAGE(D3:D7)</f>
        <v>1.28</v>
      </c>
      <c r="E8" s="98">
        <f>D8/4</f>
        <v>0.32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156</v>
      </c>
      <c r="C10" s="20"/>
      <c r="D10" s="20"/>
      <c r="E10" s="12"/>
      <c r="G10" s="294"/>
    </row>
    <row r="11" spans="1:7" ht="15" customHeight="1" x14ac:dyDescent="0.3">
      <c r="B11" s="99" t="s">
        <v>157</v>
      </c>
      <c r="C11" s="93"/>
      <c r="E11" s="6"/>
      <c r="G11" s="294"/>
    </row>
    <row r="12" spans="1:7" ht="15" customHeight="1" x14ac:dyDescent="0.3">
      <c r="B12" s="53" t="s">
        <v>282</v>
      </c>
      <c r="D12" s="100">
        <f>IF(E12="Strongly disagree",0,IF(E12="disagree",1,IF(E12="unclear",2,IF(E12="agree",3,4))))</f>
        <v>1</v>
      </c>
      <c r="E12" s="31" t="s">
        <v>161</v>
      </c>
      <c r="F12" s="6"/>
      <c r="G12" s="294" t="s">
        <v>283</v>
      </c>
    </row>
    <row r="13" spans="1:7" ht="15" customHeight="1" x14ac:dyDescent="0.3">
      <c r="B13" s="53" t="s">
        <v>158</v>
      </c>
      <c r="D13" s="100">
        <f>IF(E13="Strongly disagree",0,IF(E13="disagree",1,IF(E13="unclear",2,IF(E13="agree",3,4))))</f>
        <v>2</v>
      </c>
      <c r="E13" s="31" t="s">
        <v>153</v>
      </c>
      <c r="F13" s="6"/>
      <c r="G13" s="294"/>
    </row>
    <row r="14" spans="1:7" ht="15" customHeight="1" x14ac:dyDescent="0.3">
      <c r="B14" s="53" t="s">
        <v>159</v>
      </c>
      <c r="D14" s="100">
        <f>IF(E14="Strongly disagree",0,IF(E14="disagree",1,IF(E14="unclear",2,IF(E14="agree",3,4))))</f>
        <v>2</v>
      </c>
      <c r="E14" s="31" t="s">
        <v>153</v>
      </c>
      <c r="F14" s="6"/>
      <c r="G14" s="294"/>
    </row>
    <row r="15" spans="1:7" ht="15" customHeight="1" x14ac:dyDescent="0.3">
      <c r="B15" s="53" t="s">
        <v>160</v>
      </c>
      <c r="D15" s="100">
        <f>IF(E15="Strongly disagree",0,IF(E15="disagree",1,IF(E15="unclear",2,IF(E15="agree",3,4))))</f>
        <v>0</v>
      </c>
      <c r="E15" s="31" t="s">
        <v>176</v>
      </c>
      <c r="F15" s="6"/>
      <c r="G15" s="294"/>
    </row>
    <row r="16" spans="1:7" ht="15" customHeight="1" x14ac:dyDescent="0.3">
      <c r="B16" s="53" t="s">
        <v>162</v>
      </c>
      <c r="D16" s="100">
        <f>IF(E16="Strongly disagree",0,IF(E16="disagree",1,IF(E16="unclear",2,IF(E16="agree",3,4))))</f>
        <v>2</v>
      </c>
      <c r="E16" s="31" t="s">
        <v>153</v>
      </c>
      <c r="F16" s="6"/>
      <c r="G16" s="294"/>
    </row>
    <row r="17" spans="2:7" ht="15" customHeight="1" x14ac:dyDescent="0.3">
      <c r="B17" s="99" t="s">
        <v>164</v>
      </c>
      <c r="D17" s="38"/>
      <c r="E17" s="23"/>
      <c r="G17" s="294"/>
    </row>
    <row r="18" spans="2:7" ht="15" customHeight="1" x14ac:dyDescent="0.3">
      <c r="B18" s="53" t="s">
        <v>309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4"/>
    </row>
    <row r="19" spans="2:7" ht="15" customHeight="1" x14ac:dyDescent="0.3">
      <c r="B19" s="53" t="s">
        <v>165</v>
      </c>
      <c r="D19" s="100">
        <f t="shared" ref="D19:D22" si="1">IF(E19="Strongly disagree",0,IF(E19="disagree",1,IF(E19="unclear",2,IF(E19="agree",3,4))))</f>
        <v>2</v>
      </c>
      <c r="E19" s="31" t="s">
        <v>153</v>
      </c>
      <c r="F19" s="6"/>
      <c r="G19" s="294"/>
    </row>
    <row r="20" spans="2:7" ht="15" customHeight="1" x14ac:dyDescent="0.3">
      <c r="B20" s="53" t="s">
        <v>166</v>
      </c>
      <c r="D20" s="100">
        <f t="shared" si="1"/>
        <v>0</v>
      </c>
      <c r="E20" s="31" t="s">
        <v>176</v>
      </c>
      <c r="F20" s="6"/>
      <c r="G20" s="294"/>
    </row>
    <row r="21" spans="2:7" ht="15" customHeight="1" x14ac:dyDescent="0.3">
      <c r="B21" s="53" t="s">
        <v>167</v>
      </c>
      <c r="D21" s="100">
        <f t="shared" si="1"/>
        <v>0</v>
      </c>
      <c r="E21" s="31" t="s">
        <v>176</v>
      </c>
      <c r="F21" s="6"/>
      <c r="G21" s="294"/>
    </row>
    <row r="22" spans="2:7" ht="15" customHeight="1" x14ac:dyDescent="0.3">
      <c r="B22" s="53" t="s">
        <v>168</v>
      </c>
      <c r="D22" s="100">
        <f t="shared" si="1"/>
        <v>1</v>
      </c>
      <c r="E22" s="31" t="s">
        <v>161</v>
      </c>
      <c r="F22" s="6"/>
      <c r="G22" s="294"/>
    </row>
    <row r="23" spans="2:7" ht="15" customHeight="1" x14ac:dyDescent="0.3">
      <c r="B23" s="99" t="s">
        <v>169</v>
      </c>
      <c r="D23" s="38"/>
      <c r="E23" s="23"/>
      <c r="G23" s="294"/>
    </row>
    <row r="24" spans="2:7" ht="15" customHeight="1" x14ac:dyDescent="0.3">
      <c r="B24" s="53" t="s">
        <v>170</v>
      </c>
      <c r="D24" s="100">
        <f t="shared" ref="D24:D28" si="2">IF(E24="Strongly disagree",0,IF(E24="disagree",1,IF(E24="unclear",2,IF(E24="agree",3,4))))</f>
        <v>0</v>
      </c>
      <c r="E24" s="31" t="s">
        <v>176</v>
      </c>
      <c r="F24" s="6"/>
      <c r="G24" s="294"/>
    </row>
    <row r="25" spans="2:7" ht="15" customHeight="1" x14ac:dyDescent="0.3">
      <c r="B25" s="53" t="s">
        <v>171</v>
      </c>
      <c r="D25" s="100">
        <f t="shared" si="2"/>
        <v>2</v>
      </c>
      <c r="E25" s="31" t="s">
        <v>153</v>
      </c>
      <c r="F25" s="6"/>
      <c r="G25" s="294"/>
    </row>
    <row r="26" spans="2:7" ht="15" customHeight="1" x14ac:dyDescent="0.3">
      <c r="B26" s="53" t="s">
        <v>285</v>
      </c>
      <c r="D26" s="100">
        <f t="shared" si="2"/>
        <v>2</v>
      </c>
      <c r="E26" s="31" t="s">
        <v>153</v>
      </c>
      <c r="F26" s="6"/>
      <c r="G26" s="294"/>
    </row>
    <row r="27" spans="2:7" ht="15" customHeight="1" x14ac:dyDescent="0.3">
      <c r="B27" s="53" t="s">
        <v>286</v>
      </c>
      <c r="D27" s="100">
        <f t="shared" si="2"/>
        <v>1</v>
      </c>
      <c r="E27" s="31" t="s">
        <v>161</v>
      </c>
      <c r="F27" s="6"/>
      <c r="G27" s="294"/>
    </row>
    <row r="28" spans="2:7" ht="15" customHeight="1" x14ac:dyDescent="0.3">
      <c r="B28" s="53" t="s">
        <v>172</v>
      </c>
      <c r="D28" s="100">
        <f t="shared" si="2"/>
        <v>0</v>
      </c>
      <c r="E28" s="31" t="s">
        <v>176</v>
      </c>
      <c r="F28" s="6"/>
      <c r="G28" s="294" t="s">
        <v>318</v>
      </c>
    </row>
    <row r="29" spans="2:7" ht="15" customHeight="1" x14ac:dyDescent="0.3">
      <c r="B29" s="99" t="s">
        <v>173</v>
      </c>
      <c r="D29" s="38"/>
      <c r="E29" s="23"/>
      <c r="G29" s="294"/>
    </row>
    <row r="30" spans="2:7" ht="15" customHeight="1" x14ac:dyDescent="0.3">
      <c r="B30" s="1" t="s">
        <v>174</v>
      </c>
      <c r="D30" s="103">
        <f>SUM(D31:D35)/(5*4)</f>
        <v>0.15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3">
      <c r="B31" s="53" t="s">
        <v>175</v>
      </c>
      <c r="D31" s="100">
        <f t="shared" ref="D31:D35" si="3">IF(E31="Strongly disagree",0,IF(E31="disagree",1,IF(E31="unclear",2,IF(E31="agree",3,4))))</f>
        <v>0</v>
      </c>
      <c r="E31" s="31" t="s">
        <v>176</v>
      </c>
      <c r="F31" s="6"/>
      <c r="G31" s="294"/>
    </row>
    <row r="32" spans="2:7" ht="15" customHeight="1" x14ac:dyDescent="0.3">
      <c r="B32" s="53" t="s">
        <v>287</v>
      </c>
      <c r="D32" s="100">
        <f t="shared" si="3"/>
        <v>0</v>
      </c>
      <c r="E32" s="31" t="s">
        <v>176</v>
      </c>
      <c r="F32" s="6"/>
      <c r="G32" s="294"/>
    </row>
    <row r="33" spans="2:7" ht="15" customHeight="1" x14ac:dyDescent="0.3">
      <c r="B33" s="53" t="s">
        <v>288</v>
      </c>
      <c r="D33" s="100">
        <f t="shared" si="3"/>
        <v>0</v>
      </c>
      <c r="E33" s="31" t="s">
        <v>176</v>
      </c>
      <c r="F33" s="6"/>
      <c r="G33" s="294"/>
    </row>
    <row r="34" spans="2:7" ht="15" customHeight="1" x14ac:dyDescent="0.3">
      <c r="B34" s="53" t="s">
        <v>289</v>
      </c>
      <c r="D34" s="100">
        <f t="shared" si="3"/>
        <v>2</v>
      </c>
      <c r="E34" s="31" t="s">
        <v>153</v>
      </c>
      <c r="F34" s="6"/>
      <c r="G34" s="294"/>
    </row>
    <row r="35" spans="2:7" ht="15" customHeight="1" x14ac:dyDescent="0.3">
      <c r="B35" s="53" t="s">
        <v>319</v>
      </c>
      <c r="D35" s="100">
        <f t="shared" si="3"/>
        <v>1</v>
      </c>
      <c r="E35" s="31" t="s">
        <v>161</v>
      </c>
      <c r="G35" s="294"/>
    </row>
    <row r="36" spans="2:7" ht="15" customHeight="1" x14ac:dyDescent="0.3">
      <c r="B36" s="1" t="s">
        <v>177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4"/>
    </row>
    <row r="37" spans="2:7" ht="15" customHeight="1" x14ac:dyDescent="0.3">
      <c r="B37" s="53" t="s">
        <v>178</v>
      </c>
      <c r="D37" s="100">
        <f t="shared" ref="D37:D41" si="4">IF(E37="Strongly disagree",0,IF(E37="disagree",1,IF(E37="unclear",2,IF(E37="agree",3,4))))</f>
        <v>1</v>
      </c>
      <c r="E37" s="31" t="s">
        <v>161</v>
      </c>
      <c r="F37" s="6"/>
      <c r="G37" s="294"/>
    </row>
    <row r="38" spans="2:7" ht="15" customHeight="1" x14ac:dyDescent="0.3">
      <c r="B38" s="53" t="s">
        <v>290</v>
      </c>
      <c r="D38" s="100">
        <f t="shared" si="4"/>
        <v>3</v>
      </c>
      <c r="E38" s="31" t="s">
        <v>154</v>
      </c>
      <c r="F38" s="6"/>
      <c r="G38" s="294"/>
    </row>
    <row r="39" spans="2:7" ht="15" customHeight="1" x14ac:dyDescent="0.3">
      <c r="B39" s="53" t="s">
        <v>291</v>
      </c>
      <c r="D39" s="100">
        <f t="shared" si="4"/>
        <v>3</v>
      </c>
      <c r="E39" s="31" t="s">
        <v>154</v>
      </c>
      <c r="F39" s="6"/>
      <c r="G39" s="294"/>
    </row>
    <row r="40" spans="2:7" ht="15" customHeight="1" x14ac:dyDescent="0.3">
      <c r="B40" s="53" t="s">
        <v>292</v>
      </c>
      <c r="D40" s="100">
        <f t="shared" si="4"/>
        <v>3</v>
      </c>
      <c r="E40" s="31" t="s">
        <v>154</v>
      </c>
      <c r="F40" s="6"/>
      <c r="G40" s="294"/>
    </row>
    <row r="41" spans="2:7" ht="15" customHeight="1" x14ac:dyDescent="0.3">
      <c r="B41" s="53" t="s">
        <v>293</v>
      </c>
      <c r="D41" s="100">
        <f t="shared" si="4"/>
        <v>0</v>
      </c>
      <c r="E41" s="31" t="s">
        <v>176</v>
      </c>
      <c r="G41" s="294"/>
    </row>
    <row r="42" spans="2:7" ht="15" customHeight="1" x14ac:dyDescent="0.3">
      <c r="B42" s="1" t="s">
        <v>179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180</v>
      </c>
      <c r="D43" s="100">
        <f t="shared" ref="D43:D48" si="5">IF(E43="Strongly disagree",0,IF(E43="disagree",1,IF(E43="unclear",2,IF(E43="agree",3,4))))</f>
        <v>2</v>
      </c>
      <c r="E43" s="31" t="s">
        <v>153</v>
      </c>
      <c r="F43" s="6"/>
      <c r="G43" s="294"/>
    </row>
    <row r="44" spans="2:7" ht="15" customHeight="1" x14ac:dyDescent="0.3">
      <c r="B44" s="53" t="s">
        <v>181</v>
      </c>
      <c r="D44" s="100">
        <f t="shared" si="5"/>
        <v>1</v>
      </c>
      <c r="E44" s="31" t="s">
        <v>161</v>
      </c>
      <c r="F44" s="6"/>
      <c r="G44" s="294"/>
    </row>
    <row r="45" spans="2:7" ht="15" customHeight="1" x14ac:dyDescent="0.3">
      <c r="B45" s="53" t="s">
        <v>182</v>
      </c>
      <c r="D45" s="100">
        <f t="shared" si="5"/>
        <v>2</v>
      </c>
      <c r="E45" s="31" t="s">
        <v>153</v>
      </c>
      <c r="F45" s="6"/>
      <c r="G45" s="294"/>
    </row>
    <row r="46" spans="2:7" ht="15" customHeight="1" x14ac:dyDescent="0.3">
      <c r="B46" s="53" t="s">
        <v>183</v>
      </c>
      <c r="D46" s="100">
        <f t="shared" si="5"/>
        <v>0</v>
      </c>
      <c r="E46" s="31" t="s">
        <v>176</v>
      </c>
      <c r="F46" s="6"/>
      <c r="G46" s="294"/>
    </row>
    <row r="47" spans="2:7" ht="15" customHeight="1" x14ac:dyDescent="0.3">
      <c r="B47" s="53" t="s">
        <v>184</v>
      </c>
      <c r="D47" s="100">
        <f t="shared" si="5"/>
        <v>0</v>
      </c>
      <c r="E47" s="31" t="s">
        <v>176</v>
      </c>
      <c r="F47" s="6"/>
      <c r="G47" s="294"/>
    </row>
    <row r="48" spans="2:7" ht="15" customHeight="1" x14ac:dyDescent="0.3">
      <c r="B48" s="53" t="s">
        <v>210</v>
      </c>
      <c r="D48" s="100">
        <f t="shared" si="5"/>
        <v>0</v>
      </c>
      <c r="E48" s="31" t="s">
        <v>176</v>
      </c>
      <c r="F48" s="6"/>
      <c r="G48" s="294"/>
    </row>
    <row r="49" spans="2:8" ht="15" customHeight="1" x14ac:dyDescent="0.3">
      <c r="B49" s="1" t="s">
        <v>185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4"/>
    </row>
    <row r="50" spans="2:8" ht="15" customHeight="1" x14ac:dyDescent="0.3">
      <c r="B50" s="53" t="s">
        <v>186</v>
      </c>
      <c r="D50" s="100">
        <f t="shared" ref="D50:D52" si="6">IF(E50="Strongly disagree",0,IF(E50="disagree",1,IF(E50="unclear",2,IF(E50="agree",3,4))))</f>
        <v>2</v>
      </c>
      <c r="E50" s="31" t="s">
        <v>153</v>
      </c>
      <c r="G50" s="294"/>
    </row>
    <row r="51" spans="2:8" ht="15" customHeight="1" x14ac:dyDescent="0.3">
      <c r="B51" s="53" t="s">
        <v>187</v>
      </c>
      <c r="D51" s="100">
        <f t="shared" si="6"/>
        <v>4</v>
      </c>
      <c r="E51" s="31" t="s">
        <v>163</v>
      </c>
      <c r="F51" s="6"/>
      <c r="G51" s="294"/>
    </row>
    <row r="52" spans="2:8" ht="15" customHeight="1" x14ac:dyDescent="0.3">
      <c r="B52" s="53" t="s">
        <v>294</v>
      </c>
      <c r="D52" s="100">
        <f t="shared" si="6"/>
        <v>2</v>
      </c>
      <c r="E52" s="31" t="s">
        <v>153</v>
      </c>
      <c r="G52" s="294"/>
    </row>
    <row r="53" spans="2:8" ht="15" customHeight="1" x14ac:dyDescent="0.3">
      <c r="B53" s="53" t="s">
        <v>295</v>
      </c>
      <c r="D53" s="100">
        <f>IF(E53="Strongly disagree",0,IF(E53="disagree",1,IF(E53="unclear",2,IF(E53="agree",3,4))))</f>
        <v>0</v>
      </c>
      <c r="E53" s="31" t="s">
        <v>176</v>
      </c>
      <c r="F53" s="53"/>
      <c r="G53" s="294"/>
      <c r="H53" s="53"/>
    </row>
    <row r="54" spans="2:8" ht="15" customHeight="1" x14ac:dyDescent="0.3">
      <c r="B54" s="53" t="s">
        <v>296</v>
      </c>
      <c r="D54" s="104">
        <f t="array" ref="D54">(1-INDEX(B68:E77,MATCH(E54,B68:B77,0),4))*4</f>
        <v>3.1020408163265305</v>
      </c>
      <c r="E54" s="31" t="s">
        <v>273</v>
      </c>
      <c r="F54" s="53"/>
      <c r="G54" s="294"/>
      <c r="H54" s="53"/>
    </row>
    <row r="55" spans="2:8" ht="15" customHeight="1" x14ac:dyDescent="0.3">
      <c r="B55" s="1" t="s">
        <v>188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 x14ac:dyDescent="0.3">
      <c r="B56" s="53" t="s">
        <v>189</v>
      </c>
      <c r="D56" s="100">
        <f t="shared" ref="D56:D60" si="7">IF(E56="Strongly disagree",0,IF(E56="disagree",1,IF(E56="unclear",2,IF(E56="agree",3,4))))</f>
        <v>0</v>
      </c>
      <c r="E56" s="31" t="s">
        <v>176</v>
      </c>
      <c r="F56" s="53"/>
      <c r="G56" s="294"/>
      <c r="H56" s="53"/>
    </row>
    <row r="57" spans="2:8" ht="15" customHeight="1" x14ac:dyDescent="0.3">
      <c r="B57" s="53" t="s">
        <v>190</v>
      </c>
      <c r="D57" s="100">
        <f t="shared" si="7"/>
        <v>4</v>
      </c>
      <c r="E57" s="31" t="s">
        <v>163</v>
      </c>
      <c r="F57" s="53"/>
      <c r="G57" s="294"/>
      <c r="H57" s="53"/>
    </row>
    <row r="58" spans="2:8" ht="15" customHeight="1" x14ac:dyDescent="0.3">
      <c r="B58" s="53" t="s">
        <v>211</v>
      </c>
      <c r="D58" s="100">
        <f t="shared" si="7"/>
        <v>1</v>
      </c>
      <c r="E58" s="31" t="s">
        <v>161</v>
      </c>
      <c r="F58" s="53"/>
      <c r="G58" s="294"/>
      <c r="H58" s="53"/>
    </row>
    <row r="59" spans="2:8" ht="15" customHeight="1" x14ac:dyDescent="0.3">
      <c r="B59" s="53" t="s">
        <v>212</v>
      </c>
      <c r="D59" s="100">
        <f t="shared" si="7"/>
        <v>4</v>
      </c>
      <c r="E59" s="31" t="s">
        <v>163</v>
      </c>
      <c r="F59" s="53"/>
      <c r="G59" s="294"/>
      <c r="H59" s="53"/>
    </row>
    <row r="60" spans="2:8" ht="15" customHeight="1" x14ac:dyDescent="0.3">
      <c r="B60" s="53" t="s">
        <v>213</v>
      </c>
      <c r="D60" s="100">
        <f t="shared" si="7"/>
        <v>4</v>
      </c>
      <c r="E60" s="31" t="s">
        <v>163</v>
      </c>
      <c r="F60" s="53"/>
      <c r="G60" s="294"/>
      <c r="H60" s="53"/>
    </row>
    <row r="61" spans="2:8" ht="15" customHeight="1" x14ac:dyDescent="0.3">
      <c r="B61" s="53" t="s">
        <v>214</v>
      </c>
      <c r="D61" s="100">
        <f>IF(E61="Strongly disagree",0,IF(E61="disagree",1,IF(E61="non-perishable",2,IF(E61="agree",3,4))))</f>
        <v>2</v>
      </c>
      <c r="E61" s="31" t="s">
        <v>274</v>
      </c>
      <c r="F61" s="53"/>
      <c r="G61" s="294"/>
      <c r="H61" s="53"/>
    </row>
    <row r="62" spans="2:8" ht="15" customHeight="1" x14ac:dyDescent="0.3">
      <c r="B62" s="146" t="s">
        <v>191</v>
      </c>
      <c r="D62" s="126">
        <f>1-AVERAGE(D30,D36,D42,D49,D55)</f>
        <v>0.59231292517006806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192</v>
      </c>
      <c r="D64" s="94">
        <f>E64*4</f>
        <v>1.492312925170068</v>
      </c>
      <c r="E64" s="125">
        <f>AVERAGE(AVERAGE(D12:D16)/4,AVERAGE(D18:D22)/4,AVERAGE(D24:D28)/4,D62)</f>
        <v>0.37307823129251699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193</v>
      </c>
      <c r="C66" s="7"/>
      <c r="D66" s="7"/>
      <c r="E66" s="55"/>
    </row>
    <row r="67" spans="2:7" ht="15" customHeight="1" x14ac:dyDescent="0.3">
      <c r="B67" s="106" t="s">
        <v>194</v>
      </c>
      <c r="C67" s="107"/>
      <c r="D67" s="107"/>
      <c r="E67" s="108"/>
    </row>
    <row r="68" spans="2:7" ht="15" customHeight="1" x14ac:dyDescent="0.3">
      <c r="B68" s="109" t="s">
        <v>195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196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197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198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199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200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201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202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203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204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2023-03-20T07:13:49Z</dcterms:modified>
  <cp:category/>
  <cp:contentStatus/>
</cp:coreProperties>
</file>