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54D6D2B6-40C8-466F-A421-5F82C7B143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C36" i="1"/>
  <c r="E7" i="3"/>
  <c r="C35" i="1"/>
  <c r="B18" i="1" s="1"/>
  <c r="E6" i="1"/>
  <c r="D6" i="4" l="1"/>
  <c r="E6" i="4" s="1"/>
  <c r="D11" i="4"/>
  <c r="E16" i="1" s="1"/>
  <c r="C11" i="4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3" i="4"/>
  <c r="G6" i="7" l="1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 l="1"/>
  <c r="G16" i="3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E9" i="3"/>
  <c r="C3" i="7" l="1"/>
  <c r="C28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9" i="7"/>
  <c r="C11" i="7"/>
  <c r="E11" i="7" s="1"/>
  <c r="B3" i="7"/>
  <c r="C10" i="7"/>
  <c r="C15" i="7" s="1"/>
  <c r="C18" i="7" s="1"/>
  <c r="C4" i="4" s="1"/>
  <c r="E7" i="7"/>
  <c r="G11" i="7" l="1"/>
  <c r="G12" i="7" s="1"/>
  <c r="E12" i="7"/>
  <c r="C7" i="4"/>
  <c r="C8" i="4" s="1"/>
  <c r="C9" i="4" s="1"/>
  <c r="C10" i="4" s="1"/>
  <c r="E9" i="7"/>
  <c r="G9" i="7" s="1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I7" i="3" s="1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D7" i="4"/>
  <c r="D8" i="4" s="1"/>
  <c r="D9" i="4" s="1"/>
  <c r="D10" i="4" s="1"/>
  <c r="D5" i="4"/>
  <c r="F8" i="4"/>
  <c r="F9" i="4" s="1"/>
  <c r="F15" i="4" s="1"/>
  <c r="F5" i="4"/>
  <c r="D53" i="5"/>
  <c r="E7" i="4" l="1"/>
  <c r="E8" i="4" s="1"/>
  <c r="E9" i="4" s="1"/>
  <c r="E5" i="4"/>
  <c r="I17" i="7"/>
  <c r="G17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D18" i="5"/>
  <c r="E6" i="5" s="1"/>
  <c r="C21" i="4" l="1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I36" i="1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C32" i="4"/>
  <c r="H14" i="1" s="1"/>
  <c r="J25" i="1" s="1"/>
  <c r="D29" i="4"/>
  <c r="F32" i="4" l="1"/>
  <c r="D16" i="1"/>
  <c r="B17" i="1"/>
  <c r="J17" i="1" s="1"/>
  <c r="D18" i="1"/>
  <c r="E32" i="4"/>
  <c r="F17" i="1"/>
  <c r="D17" i="1"/>
</calcChain>
</file>

<file path=xl/sharedStrings.xml><?xml version="1.0" encoding="utf-8"?>
<sst xmlns="http://schemas.openxmlformats.org/spreadsheetml/2006/main" count="385" uniqueCount="324">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</sst>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I36" sqref="I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3" t="s">
        <v>301</v>
      </c>
      <c r="D3" s="394"/>
      <c r="E3" s="15"/>
      <c r="G3" s="7" t="s">
        <v>2</v>
      </c>
      <c r="I3" s="403" t="s">
        <v>3</v>
      </c>
      <c r="J3" s="404"/>
    </row>
    <row r="4" spans="1:12" ht="15.75" customHeight="1" x14ac:dyDescent="0.3">
      <c r="B4" s="5" t="s">
        <v>4</v>
      </c>
      <c r="C4" s="395" t="s">
        <v>302</v>
      </c>
      <c r="D4" s="396"/>
      <c r="E4" s="6"/>
      <c r="G4" s="5" t="s">
        <v>5</v>
      </c>
      <c r="I4" s="32">
        <v>5.61</v>
      </c>
      <c r="J4" s="33" t="s">
        <v>6</v>
      </c>
      <c r="K4" s="152"/>
    </row>
    <row r="5" spans="1:12" ht="15.75" customHeight="1" x14ac:dyDescent="0.3">
      <c r="B5" s="5" t="s">
        <v>7</v>
      </c>
      <c r="C5" s="397">
        <v>44501</v>
      </c>
      <c r="D5" s="396"/>
      <c r="E5" s="122" t="str">
        <f ca="1">IF(C5+30&gt;=TODAY(),"Patience Premium","")</f>
        <v/>
      </c>
      <c r="G5" s="5" t="s">
        <v>8</v>
      </c>
      <c r="I5" s="372">
        <v>9068251704</v>
      </c>
      <c r="J5" s="373"/>
      <c r="K5" s="151"/>
      <c r="L5" s="85"/>
    </row>
    <row r="6" spans="1:12" ht="15.75" customHeight="1" x14ac:dyDescent="0.3">
      <c r="B6" s="12" t="s">
        <v>257</v>
      </c>
      <c r="C6" s="270">
        <v>8</v>
      </c>
      <c r="D6" s="271">
        <f>EOMONTH(EDATE(Asset_Model!D9,C6),0)</f>
        <v>44985</v>
      </c>
      <c r="E6" s="347">
        <f>Data!C3</f>
        <v>44561</v>
      </c>
      <c r="G6" s="134" t="s">
        <v>9</v>
      </c>
      <c r="H6" s="133"/>
      <c r="I6" s="405">
        <f>I4*I5/1000000</f>
        <v>50872.892059440004</v>
      </c>
      <c r="J6" s="406"/>
      <c r="K6" s="151"/>
    </row>
    <row r="7" spans="1:12" ht="15.75" customHeight="1" x14ac:dyDescent="0.3">
      <c r="B7" s="139" t="s">
        <v>10</v>
      </c>
      <c r="C7" s="145">
        <f>(Data!C39)/I4</f>
        <v>6.6681504877616371E-2</v>
      </c>
      <c r="D7" s="145">
        <f>(Data!C40)/I4</f>
        <v>7.1671569128404214E-3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6.4920777468357853</v>
      </c>
      <c r="J9" s="48">
        <f>IF(I9="NNI","NNI",1/I9)</f>
        <v>0.15403389161311204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1.9911000822612643</v>
      </c>
      <c r="J10" s="130">
        <f>IF(Asset_Model!D60/'FCFF Model'!C4&lt;0,"Negative EV",Asset_Model!D60/'FCFF Model'!C4)</f>
        <v>6.2676453427772927</v>
      </c>
    </row>
    <row r="11" spans="1:12" ht="15.75" customHeight="1" thickBot="1" x14ac:dyDescent="0.35">
      <c r="B11" s="313" t="s">
        <v>276</v>
      </c>
      <c r="C11" s="384">
        <f ca="1">C12-D10</f>
        <v>5.1000000000000004E-2</v>
      </c>
      <c r="D11" s="385"/>
      <c r="E11" s="13"/>
      <c r="G11" s="5" t="s">
        <v>15</v>
      </c>
      <c r="H11" s="6"/>
      <c r="I11" s="381" t="s">
        <v>303</v>
      </c>
      <c r="J11" s="382"/>
    </row>
    <row r="12" spans="1:12" ht="15.75" customHeight="1" thickTop="1" x14ac:dyDescent="0.3">
      <c r="B12" s="314" t="s">
        <v>150</v>
      </c>
      <c r="C12" s="386">
        <f ca="1">IF(C10="CN",8%,6%)*IF($C$5+30&gt;=TODAY(),1.2,1)</f>
        <v>0.08</v>
      </c>
      <c r="D12" s="387"/>
      <c r="G12" s="134" t="s">
        <v>16</v>
      </c>
      <c r="H12" s="133"/>
      <c r="I12" s="135">
        <v>1.1404598109878687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Model'!C29,'FCFF Model'!E29)</f>
        <v>3.0204003619776394</v>
      </c>
      <c r="E14" s="127" t="s">
        <v>235</v>
      </c>
      <c r="F14" s="184">
        <f ca="1">MAX('FCFF Model'!C29,'FCFF Model'!E29)</f>
        <v>8.4631228990388649</v>
      </c>
      <c r="G14" s="185" t="s">
        <v>24</v>
      </c>
      <c r="H14" s="193">
        <f ca="1">IF('FCFF Model'!C32&lt;0, "Error", 'FCFF Model'!C32)</f>
        <v>6.3343982128812879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5.61</v>
      </c>
      <c r="C16" s="363">
        <v>0.1</v>
      </c>
      <c r="D16" s="159">
        <f ca="1">H14/B16-1-C16</f>
        <v>2.912624115530979E-2</v>
      </c>
      <c r="E16" s="358">
        <f>'FCFF Model'!D11*Exchange_Rate</f>
        <v>0.30986293064540393</v>
      </c>
      <c r="F16" s="161">
        <f>E16/B16</f>
        <v>5.5234033983137955E-2</v>
      </c>
      <c r="G16" s="366" t="s">
        <v>25</v>
      </c>
      <c r="H16" s="407">
        <f>('FCFF Model'!G19)*Exchange_Rate</f>
        <v>1.5590920187819586</v>
      </c>
      <c r="I16" s="366" t="s">
        <v>26</v>
      </c>
      <c r="J16" s="206">
        <f>B16-$H$16</f>
        <v>4.0509079812180415</v>
      </c>
    </row>
    <row r="17" spans="1:10" ht="15.75" customHeight="1" x14ac:dyDescent="0.3">
      <c r="B17" s="290">
        <f ca="1">H14/(1+C16)</f>
        <v>5.758543829892079</v>
      </c>
      <c r="C17" s="364"/>
      <c r="D17" s="289">
        <f ca="1">H14/B17-1-C16</f>
        <v>0</v>
      </c>
      <c r="E17" s="359"/>
      <c r="F17" s="162">
        <f ca="1">E16/B17</f>
        <v>5.3809251053527379E-2</v>
      </c>
      <c r="G17" s="367"/>
      <c r="H17" s="408"/>
      <c r="I17" s="367"/>
      <c r="J17" s="205">
        <f ca="1">B17-$H$16</f>
        <v>4.1994518111101202</v>
      </c>
    </row>
    <row r="18" spans="1:10" ht="15.75" customHeight="1" x14ac:dyDescent="0.3">
      <c r="B18" s="350">
        <f>C35</f>
        <v>4.8</v>
      </c>
      <c r="C18" s="365"/>
      <c r="D18" s="160">
        <f ca="1">H14/B18-1-C16</f>
        <v>0.21966629435026838</v>
      </c>
      <c r="E18" s="360"/>
      <c r="F18" s="163">
        <f>E16/B18</f>
        <v>6.4554777217792486E-2</v>
      </c>
      <c r="G18" s="368"/>
      <c r="H18" s="409"/>
      <c r="I18" s="368"/>
      <c r="J18" s="207">
        <f>B18-$H$16</f>
        <v>3.240907981218041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1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0"/>
      <c r="D21" s="401"/>
      <c r="E21" s="401"/>
      <c r="F21" s="401"/>
      <c r="G21" s="401"/>
      <c r="H21" s="401"/>
      <c r="I21" s="401"/>
      <c r="J21" s="402"/>
    </row>
    <row r="22" spans="1:10" ht="52.5" customHeight="1" x14ac:dyDescent="0.3">
      <c r="A22" s="6"/>
      <c r="B22" s="24" t="s">
        <v>29</v>
      </c>
      <c r="C22" s="383"/>
      <c r="D22" s="378"/>
      <c r="E22" s="378"/>
      <c r="F22" s="378"/>
      <c r="G22" s="383"/>
      <c r="H22" s="383"/>
      <c r="I22" s="378"/>
      <c r="J22" s="378"/>
    </row>
    <row r="23" spans="1:10" ht="52.5" customHeight="1" x14ac:dyDescent="0.3">
      <c r="A23" s="6"/>
      <c r="B23" s="25" t="s">
        <v>30</v>
      </c>
      <c r="C23" s="361"/>
      <c r="D23" s="362"/>
      <c r="E23" s="362"/>
      <c r="F23" s="362"/>
      <c r="G23" s="361"/>
      <c r="H23" s="361"/>
      <c r="I23" s="362"/>
      <c r="J23" s="36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8">
        <v>0.15</v>
      </c>
      <c r="I25" s="30" t="s">
        <v>318</v>
      </c>
      <c r="J25" s="349">
        <f ca="1">H14/(H25+C16+1)</f>
        <v>5.0675185703050305</v>
      </c>
    </row>
    <row r="26" spans="1:10" ht="15.75" customHeight="1" x14ac:dyDescent="0.3">
      <c r="B26" s="23" t="s">
        <v>33</v>
      </c>
      <c r="C26" s="398">
        <v>44501</v>
      </c>
      <c r="D26" s="399"/>
      <c r="E26" s="388" t="str">
        <f>IF(C26="","","Action_Planning")</f>
        <v>Action_Planning</v>
      </c>
      <c r="F26" s="389"/>
      <c r="G26" s="389"/>
      <c r="H26" s="390"/>
      <c r="I26" s="410" t="s">
        <v>34</v>
      </c>
      <c r="J26" s="410"/>
    </row>
    <row r="27" spans="1:10" ht="15.75" customHeight="1" x14ac:dyDescent="0.3">
      <c r="B27" s="23" t="s">
        <v>35</v>
      </c>
      <c r="C27" s="357">
        <f>C31/D25</f>
        <v>7.3866666666666664E-2</v>
      </c>
      <c r="D27" s="356"/>
      <c r="E27" s="355">
        <f>E31/D25</f>
        <v>6.4000000000000001E-2</v>
      </c>
      <c r="F27" s="356"/>
      <c r="G27" s="370">
        <f>G31/D25</f>
        <v>0</v>
      </c>
      <c r="H27" s="371"/>
      <c r="I27" s="369">
        <f>C27+E27+G27</f>
        <v>0.13786666666666667</v>
      </c>
      <c r="J27" s="369"/>
    </row>
    <row r="28" spans="1:10" ht="15.75" customHeight="1" x14ac:dyDescent="0.3">
      <c r="B28" s="23" t="s">
        <v>36</v>
      </c>
      <c r="C28" s="391">
        <v>4000</v>
      </c>
      <c r="D28" s="378"/>
      <c r="E28" s="391">
        <v>8000</v>
      </c>
      <c r="F28" s="378"/>
      <c r="G28" s="372"/>
      <c r="H28" s="373"/>
      <c r="I28" s="413">
        <f>C28+E28+G28</f>
        <v>12000</v>
      </c>
      <c r="J28" s="413"/>
    </row>
    <row r="29" spans="1:10" ht="15.75" customHeight="1" x14ac:dyDescent="0.3">
      <c r="B29" s="23" t="s">
        <v>37</v>
      </c>
      <c r="C29" s="377">
        <v>11.08</v>
      </c>
      <c r="D29" s="378"/>
      <c r="E29" s="377">
        <v>4.8</v>
      </c>
      <c r="F29" s="378"/>
      <c r="G29" s="422"/>
      <c r="H29" s="423"/>
      <c r="I29" s="374"/>
      <c r="J29" s="374"/>
    </row>
    <row r="30" spans="1:10" ht="15.75" customHeight="1" x14ac:dyDescent="0.3">
      <c r="B30" s="23" t="s">
        <v>38</v>
      </c>
      <c r="C30" s="411">
        <f>C29*$I$5/1000000</f>
        <v>100476.22888032001</v>
      </c>
      <c r="D30" s="418"/>
      <c r="E30" s="411">
        <f>E29*$I$5/1000000</f>
        <v>43527.608179199997</v>
      </c>
      <c r="F30" s="418"/>
      <c r="G30" s="424">
        <f>G29*$I$5/1000000</f>
        <v>0</v>
      </c>
      <c r="H30" s="425"/>
      <c r="I30" s="375"/>
      <c r="J30" s="375"/>
    </row>
    <row r="31" spans="1:10" ht="15.75" customHeight="1" x14ac:dyDescent="0.3">
      <c r="B31" s="2" t="s">
        <v>39</v>
      </c>
      <c r="C31" s="419">
        <f>C28*C29</f>
        <v>44320</v>
      </c>
      <c r="D31" s="420"/>
      <c r="E31" s="412">
        <f>E28*E29</f>
        <v>38400</v>
      </c>
      <c r="F31" s="421"/>
      <c r="G31" s="379">
        <f>G28*G29</f>
        <v>0</v>
      </c>
      <c r="H31" s="380"/>
      <c r="I31" s="412">
        <f>C31+E31+G31</f>
        <v>82720</v>
      </c>
      <c r="J31" s="412"/>
    </row>
    <row r="32" spans="1:10" ht="15.75" customHeight="1" x14ac:dyDescent="0.3">
      <c r="B32" s="1" t="s">
        <v>40</v>
      </c>
      <c r="C32" s="414"/>
      <c r="D32" s="415"/>
      <c r="E32" s="376">
        <f>IF(C31=0,"-",(C31+E31)/(C28+E28))</f>
        <v>6.8933333333333335</v>
      </c>
      <c r="F32" s="356"/>
      <c r="G32" s="117"/>
      <c r="H32" s="117"/>
      <c r="I32" s="376">
        <f>IF(I31=0,"",I31/I28)</f>
        <v>6.8933333333333335</v>
      </c>
      <c r="J32" s="376"/>
    </row>
    <row r="33" spans="2:10" ht="15.75" customHeight="1" x14ac:dyDescent="0.3">
      <c r="B33" s="1" t="s">
        <v>41</v>
      </c>
      <c r="C33" s="416"/>
      <c r="D33" s="417"/>
      <c r="E33" s="411">
        <f>IF(E32="-","-",E32*$I$5/1000000)</f>
        <v>62510.481746240002</v>
      </c>
      <c r="F33" s="418"/>
      <c r="G33" s="118"/>
      <c r="H33" s="118"/>
      <c r="I33" s="411">
        <f>IF(I32="","",I32*$I$5/1000000)</f>
        <v>62510.481746240002</v>
      </c>
      <c r="J33" s="411"/>
    </row>
    <row r="34" spans="2:10" ht="15.75" customHeight="1" x14ac:dyDescent="0.3"/>
    <row r="35" spans="2:10" ht="15.75" customHeight="1" x14ac:dyDescent="0.3">
      <c r="B35" s="146" t="s">
        <v>315</v>
      </c>
      <c r="C35" s="353">
        <f>E29</f>
        <v>4.8</v>
      </c>
      <c r="D35" s="354"/>
      <c r="G35" s="351" t="s">
        <v>319</v>
      </c>
      <c r="H35" s="352"/>
      <c r="I35" s="353">
        <f ca="1">'FCFF Model'!C33*0.8</f>
        <v>7.2354661781114276</v>
      </c>
      <c r="J35" s="354"/>
    </row>
    <row r="36" spans="2:10" ht="15.75" customHeight="1" x14ac:dyDescent="0.3">
      <c r="B36" s="146" t="s">
        <v>316</v>
      </c>
      <c r="C36" s="391">
        <f>E28</f>
        <v>8000</v>
      </c>
      <c r="D36" s="392"/>
      <c r="G36" s="443" t="s">
        <v>323</v>
      </c>
      <c r="H36" s="443"/>
      <c r="I36" s="432">
        <f ca="1">I35/C29-1</f>
        <v>-0.34697958681304808</v>
      </c>
      <c r="J36" s="433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G30:H30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33:J33"/>
    <mergeCell ref="I11:J11"/>
    <mergeCell ref="C22:F22"/>
    <mergeCell ref="C11:D11"/>
    <mergeCell ref="C12:D12"/>
    <mergeCell ref="E26:H26"/>
    <mergeCell ref="G35:H35"/>
    <mergeCell ref="I35:J35"/>
    <mergeCell ref="E27:F27"/>
    <mergeCell ref="C27:D27"/>
    <mergeCell ref="E16:E18"/>
    <mergeCell ref="G23:J23"/>
    <mergeCell ref="C16:C18"/>
    <mergeCell ref="G16:G18"/>
    <mergeCell ref="I27:J27"/>
    <mergeCell ref="G27:H27"/>
    <mergeCell ref="G28:H28"/>
    <mergeCell ref="I29:J29"/>
    <mergeCell ref="I30:J30"/>
    <mergeCell ref="I32:J32"/>
    <mergeCell ref="C29:D29"/>
    <mergeCell ref="G31:H31"/>
  </mergeCells>
  <conditionalFormatting sqref="I16">
    <cfRule type="cellIs" dxfId="15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4" priority="14" operator="lessThan">
      <formula>0</formula>
    </cfRule>
  </conditionalFormatting>
  <conditionalFormatting sqref="H16">
    <cfRule type="cellIs" dxfId="13" priority="9" operator="greaterThan">
      <formula>$B$16</formula>
    </cfRule>
  </conditionalFormatting>
  <conditionalFormatting sqref="H14">
    <cfRule type="cellIs" dxfId="12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1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6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5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2" t="s">
        <v>300</v>
      </c>
      <c r="C52" s="343" t="str">
        <f>IF(C51="","",C51/C7)</f>
        <v/>
      </c>
      <c r="D52" s="343" t="str">
        <f t="shared" ref="D52:M52" si="27">IF(D51="","",D51/D7)</f>
        <v/>
      </c>
      <c r="E52" s="343" t="str">
        <f t="shared" si="27"/>
        <v/>
      </c>
      <c r="F52" s="343" t="str">
        <f t="shared" si="27"/>
        <v/>
      </c>
      <c r="G52" s="343" t="str">
        <f t="shared" si="27"/>
        <v/>
      </c>
      <c r="H52" s="343" t="str">
        <f>IF(H51="","",H51/H7)</f>
        <v/>
      </c>
      <c r="I52" s="343" t="str">
        <f t="shared" si="27"/>
        <v/>
      </c>
      <c r="J52" s="343" t="str">
        <f t="shared" si="27"/>
        <v/>
      </c>
      <c r="K52" s="343" t="str">
        <f t="shared" si="27"/>
        <v/>
      </c>
      <c r="L52" s="343" t="str">
        <f t="shared" si="27"/>
        <v/>
      </c>
      <c r="M52" s="344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4">
        <v>23380708</v>
      </c>
      <c r="E3" s="156" t="str">
        <f>IF((C46-I46)=D3,"", "Error!")</f>
        <v/>
      </c>
      <c r="F3" s="6"/>
      <c r="G3" s="6"/>
      <c r="H3" s="275" t="s">
        <v>261</v>
      </c>
      <c r="I3" s="276">
        <v>21883166</v>
      </c>
    </row>
    <row r="4" spans="1:10" ht="15" customHeight="1" x14ac:dyDescent="0.3">
      <c r="B4" s="5" t="s">
        <v>227</v>
      </c>
      <c r="C4" s="6"/>
      <c r="D4" s="277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2.7521149803514717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</f>
        <v>11890903.580610303</v>
      </c>
      <c r="E6" s="14">
        <f>1-D6/D3</f>
        <v>0.49142243337497293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MAX((D6*Dashboard!I12*Data!C4)/Dashboard!I5, 0)</f>
        <v>1.4954478649987193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1.9911000822612643</v>
      </c>
      <c r="E50" s="218">
        <f>MAX(C50,C50*Dashboard!I10)</f>
        <v>2981755.9993896983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26">
        <f>D53+D54+D55</f>
        <v>1183453</v>
      </c>
      <c r="E52" s="427"/>
      <c r="F52" s="53"/>
      <c r="G52" s="53"/>
    </row>
    <row r="53" spans="2:9" ht="14.5" thickTop="1" x14ac:dyDescent="0.3">
      <c r="B53" s="58" t="s">
        <v>237</v>
      </c>
      <c r="C53" s="6"/>
      <c r="D53" s="429">
        <f>SUM(I11:I13)+SUM(I28:I30)</f>
        <v>1183453</v>
      </c>
      <c r="E53" s="420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36">
        <v>0</v>
      </c>
      <c r="E54" s="37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6">
        <v>0</v>
      </c>
      <c r="E55" s="37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28"/>
      <c r="E57" s="428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34">
        <f>((Dashboard!I6*Data!C4)+D52+E50-C58-C59)</f>
        <v>37936343.058829702</v>
      </c>
      <c r="E60" s="43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266</v>
      </c>
    </row>
    <row r="63" spans="2:9" ht="15" customHeight="1" x14ac:dyDescent="0.3">
      <c r="B63" s="3" t="s">
        <v>269</v>
      </c>
      <c r="D63" s="432">
        <f>((C26-C11-C12-C14-C15-C16*G16-C19*G19-C20*G20)-I26)/Data!C7</f>
        <v>-0.16514252885624575</v>
      </c>
      <c r="E63" s="433"/>
    </row>
    <row r="64" spans="2:9" ht="15" customHeight="1" x14ac:dyDescent="0.3">
      <c r="B64" s="3" t="s">
        <v>268</v>
      </c>
      <c r="D64" s="430">
        <v>6.7599999999999993E-2</v>
      </c>
      <c r="E64" s="431"/>
      <c r="F64" s="266" t="s">
        <v>253</v>
      </c>
    </row>
    <row r="65" spans="2:5" ht="15" customHeight="1" x14ac:dyDescent="0.3">
      <c r="B65" s="292" t="s">
        <v>270</v>
      </c>
      <c r="D65" s="430">
        <v>6.7599999999999993E-2</v>
      </c>
      <c r="E65" s="43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6" t="s">
        <v>264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1000CNY)</v>
      </c>
      <c r="C3" s="278">
        <f>Data!C3</f>
        <v>44561</v>
      </c>
      <c r="D3" s="28" t="s">
        <v>252</v>
      </c>
      <c r="E3" s="278">
        <f>EOMONTH(EDATE(C3,12),0)</f>
        <v>44926</v>
      </c>
      <c r="F3" s="28" t="s">
        <v>252</v>
      </c>
      <c r="G3" s="278">
        <f>IF(G7="","",EOMONTH(EDATE(E3,12),0))</f>
        <v>45291</v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308</v>
      </c>
      <c r="C4" s="294">
        <v>22545004</v>
      </c>
      <c r="D4" s="260">
        <f>C4/C6</f>
        <v>0.98984640370139709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231261</v>
      </c>
      <c r="D5" s="260">
        <f>C5/C6</f>
        <v>1.0153596298602954E-2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9">
        <f>C6*0.84</f>
        <v>19132062.599999998</v>
      </c>
      <c r="F6" s="259"/>
      <c r="G6" s="339">
        <f>C6</f>
        <v>22776265</v>
      </c>
      <c r="H6" s="259"/>
      <c r="I6" s="228"/>
      <c r="J6" s="288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9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2">
        <f>IF(G6="","",G6*(1-G9))</f>
        <v>6768675.9999999991</v>
      </c>
      <c r="H8" s="262"/>
      <c r="I8" s="282" t="str">
        <f>IF(I6="","",I6*(1-I9))</f>
        <v/>
      </c>
      <c r="J8" s="330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1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2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3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4"/>
      <c r="K14" s="6"/>
      <c r="L14" s="77"/>
      <c r="M14" s="78"/>
    </row>
    <row r="15" spans="1:13" ht="15.75" customHeight="1" x14ac:dyDescent="0.3">
      <c r="B15" s="134" t="s">
        <v>248</v>
      </c>
      <c r="C15" s="320">
        <f>C10-C12</f>
        <v>8070302</v>
      </c>
      <c r="D15" s="321"/>
      <c r="E15" s="320">
        <f>E10-E12</f>
        <v>6779053.6799999988</v>
      </c>
      <c r="F15" s="321"/>
      <c r="G15" s="320">
        <f>IF(G7="","",G10-G12)</f>
        <v>8070302</v>
      </c>
      <c r="H15" s="321"/>
      <c r="I15" s="320" t="str">
        <f>IF(I7="","",I10-I12)</f>
        <v/>
      </c>
      <c r="J15" s="335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>
        <f>IF(G15="","",E16)</f>
        <v>0.25</v>
      </c>
      <c r="H16" s="319"/>
      <c r="I16" s="319" t="str">
        <f>IF(I15="","",G16)</f>
        <v/>
      </c>
      <c r="J16" s="336"/>
    </row>
    <row r="17" spans="2:10" ht="15.75" customHeight="1" x14ac:dyDescent="0.3">
      <c r="B17" s="325" t="s">
        <v>279</v>
      </c>
      <c r="C17" s="188"/>
      <c r="D17" s="327"/>
      <c r="E17" s="326">
        <f>E18/C18-1</f>
        <v>-0.16000000000000014</v>
      </c>
      <c r="F17" s="326"/>
      <c r="G17" s="326">
        <f>IF(G18="","",G18/E18-1)</f>
        <v>0.19047619047619069</v>
      </c>
      <c r="H17" s="326"/>
      <c r="I17" s="326" t="str">
        <f>IF(I18="","",I18/G18-1)</f>
        <v/>
      </c>
      <c r="J17" s="337"/>
    </row>
    <row r="18" spans="2:10" ht="15.75" customHeight="1" x14ac:dyDescent="0.3">
      <c r="B18" s="322" t="s">
        <v>80</v>
      </c>
      <c r="C18" s="323">
        <f>IF(C15&lt;=0,C15,C15*(1-C16))</f>
        <v>6052726.5</v>
      </c>
      <c r="D18" s="323"/>
      <c r="E18" s="324">
        <f>IF(E15="","",IF(E15&lt;=0,E15,E15*(1-E16)))</f>
        <v>5084290.2599999988</v>
      </c>
      <c r="F18" s="323"/>
      <c r="G18" s="324">
        <f>IF(G15="","",IF(G15&lt;=0,G15,G15*(1-G16)))</f>
        <v>6052726.5</v>
      </c>
      <c r="H18" s="323"/>
      <c r="I18" s="324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8:H11 I10 I12:I15 G13:H15 H12 I7:I8 H7">
    <cfRule type="containsBlanks" dxfId="6" priority="8">
      <formula>LEN(TRIM(G7))=0</formula>
    </cfRule>
    <cfRule type="containsBlanks" priority="9">
      <formula>LEN(TRIM(G7))=0</formula>
    </cfRule>
  </conditionalFormatting>
  <conditionalFormatting sqref="I7 I11 I9">
    <cfRule type="containsBlanks" dxfId="5" priority="6">
      <formula>LEN(TRIM(I7))=0</formula>
    </cfRule>
    <cfRule type="containsBlanks" priority="7">
      <formula>LEN(TRIM(I7))=0</formula>
    </cfRule>
  </conditionalFormatting>
  <conditionalFormatting sqref="J7:J15">
    <cfRule type="containsBlanks" dxfId="4" priority="4">
      <formula>LEN(TRIM(J7))=0</formula>
    </cfRule>
    <cfRule type="containsBlanks" priority="5">
      <formula>LEN(TRIM(J7))=0</formula>
    </cfRule>
  </conditionalFormatting>
  <conditionalFormatting sqref="E16:E18 G18 I18">
    <cfRule type="containsBlanks" dxfId="3" priority="2">
      <formula>LEN(TRIM(E16))=0</formula>
    </cfRule>
  </conditionalFormatting>
  <conditionalFormatting sqref="G8:J11 G13:J18 H12:J12 H7:J7">
    <cfRule type="containsBlanks" dxfId="2" priority="1">
      <formula>LEN(TRIM(G7))=0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9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6" t="s">
        <v>264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2102111.9134499999</v>
      </c>
      <c r="D7" s="310">
        <f>D4*D6</f>
        <v>1765774.0072979997</v>
      </c>
      <c r="E7" s="310">
        <f>E4*E6</f>
        <v>2102111.9134499999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6">
        <f>D8/(Common_Shares/Data!$C$4)</f>
        <v>0.36594884670417827</v>
      </c>
      <c r="E9" s="306">
        <f>IF(E8="","",E8/(Common_Shares/Data!$C$4))</f>
        <v>0.43565338893354566</v>
      </c>
      <c r="F9" s="306" t="str">
        <f>IF(F8="","",F8/(Common_Shares/Data!$C$4))</f>
        <v/>
      </c>
      <c r="G9" s="307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2">
        <f>C11/C9</f>
        <v>1.0802165481875434</v>
      </c>
      <c r="D10" s="312">
        <f>D11/D9</f>
        <v>0.74245349438041508</v>
      </c>
      <c r="E10" s="328"/>
      <c r="F10" s="328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4">
        <f>0.2973+0.1733</f>
        <v>0.47060000000000002</v>
      </c>
      <c r="D11" s="285">
        <f>0.1131+0.1586</f>
        <v>0.2717</v>
      </c>
      <c r="E11" s="285"/>
      <c r="F11" s="285"/>
      <c r="G11" s="283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12396963.680610301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G18*Data!C$4/Dashboard!I5</f>
        <v>1.3670731785203984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39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-2981755.9993896983</v>
      </c>
      <c r="D21" s="219">
        <f>C21/(Dashboard!I5/Data!C4)</f>
        <v>-0.32881266386490438</v>
      </c>
      <c r="E21" s="439"/>
      <c r="F21" s="148">
        <f>D18</f>
        <v>1.8156396202299327</v>
      </c>
      <c r="G21" s="147">
        <f>SUM(D19:D21)</f>
        <v>-0.44856644170953397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42" t="s">
        <v>232</v>
      </c>
      <c r="F23" s="442"/>
      <c r="G23" s="442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5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8">
        <v>8</v>
      </c>
      <c r="E25" s="206">
        <f ca="1">G9*D25/G14</f>
        <v>2.7666856483611846</v>
      </c>
      <c r="F25" s="440">
        <f ca="1">SUM(C15:F15)</f>
        <v>0.52035441438061181</v>
      </c>
      <c r="G25" s="206">
        <f ca="1">$F$25+E25+$G$19</f>
        <v>4.6541132412621948</v>
      </c>
      <c r="I25" s="74"/>
    </row>
    <row r="26" spans="1:9" ht="15.75" customHeight="1" x14ac:dyDescent="0.3">
      <c r="B26" s="302" t="s">
        <v>313</v>
      </c>
      <c r="C26" s="303">
        <f t="shared" ref="C26" si="0">1/D26</f>
        <v>6.25E-2</v>
      </c>
      <c r="D26" s="315">
        <v>16</v>
      </c>
      <c r="E26" s="207">
        <f ca="1">G9*D26/G14</f>
        <v>5.5333712967223692</v>
      </c>
      <c r="F26" s="441"/>
      <c r="G26" s="207">
        <f ca="1">$F$25+E26+$G$19</f>
        <v>7.420798889623379</v>
      </c>
      <c r="I26" s="74" t="s">
        <v>311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3.0204003619776394</v>
      </c>
      <c r="D29" s="23" t="str">
        <f ca="1">IF(C29&lt;E29,"&lt;",IF(C29=E29,"=","&gt;"))</f>
        <v>&lt;</v>
      </c>
      <c r="E29" s="251">
        <f ca="1">G26*Exchange_Rate</f>
        <v>8.4631228990388649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37" t="s">
        <v>153</v>
      </c>
      <c r="D31" s="438"/>
      <c r="E31" s="30" t="s">
        <v>220</v>
      </c>
      <c r="F31" s="30" t="s">
        <v>18</v>
      </c>
      <c r="G31" s="30"/>
      <c r="H31" s="6"/>
    </row>
    <row r="32" spans="1:9" ht="15.75" customHeight="1" x14ac:dyDescent="0.3">
      <c r="B32" s="256" t="s">
        <v>234</v>
      </c>
      <c r="C32" s="253">
        <f ca="1">MIN(C29,E29)+ABS(C29-E29)*'Qualitative Analysis'!$E$64</f>
        <v>6.3343982128812879</v>
      </c>
      <c r="D32" s="119" t="str">
        <f>Dashboard!J4</f>
        <v>HKD</v>
      </c>
      <c r="E32" s="120">
        <f ca="1">(C32-G19)/C9</f>
        <v>11.402011692186338</v>
      </c>
      <c r="F32" s="158">
        <f ca="1">C32/(Data!C28*Exchange_Rate*Data!C4/Common_Shares)</f>
        <v>2.2482033516476894</v>
      </c>
      <c r="G32" s="87"/>
      <c r="H32" s="6"/>
      <c r="I32" s="74"/>
    </row>
    <row r="33" spans="2:7" ht="15.75" customHeight="1" x14ac:dyDescent="0.3">
      <c r="B33" s="255" t="s">
        <v>233</v>
      </c>
      <c r="C33" s="254">
        <f ca="1">MAX(Asset_Model!D7,(G12/(1+G33)^G4+F25+G19)*Exchange_Rate)</f>
        <v>9.0443327226392842</v>
      </c>
      <c r="D33" s="208" t="str">
        <f>D32</f>
        <v>HKD</v>
      </c>
      <c r="E33" s="120">
        <f ca="1">(C33-G19)/C9</f>
        <v>17.622402899039475</v>
      </c>
      <c r="F33" s="158">
        <f ca="1">C33/(Data!C28*Exchange_Rate*Data!C4/Common_Shares)</f>
        <v>3.2100127679225174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5 E8:F15 F6:F7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5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5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172</v>
      </c>
      <c r="D23" s="38"/>
      <c r="E23" s="23"/>
      <c r="G23" s="295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176</v>
      </c>
      <c r="D29" s="38"/>
      <c r="E29" s="23"/>
      <c r="G29" s="295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5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5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5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5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5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5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5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5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5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5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5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5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5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5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5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5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5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2023-03-20T07:13:22Z</dcterms:modified>
  <cp:category/>
  <cp:contentStatus/>
</cp:coreProperties>
</file>