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6FF0CC09-08BB-47EC-AB14-FADEB5A4778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E14" i="1" l="1"/>
  <c r="B17" i="1" s="1"/>
  <c r="E27" i="4"/>
  <c r="F27" i="4"/>
  <c r="F31" i="4"/>
  <c r="E31" i="4"/>
  <c r="C32" i="4"/>
  <c r="I36" i="1" s="1"/>
  <c r="D18" i="1" s="1"/>
  <c r="D16" i="1" l="1"/>
  <c r="E46" i="1"/>
  <c r="F46" i="1"/>
  <c r="F32" i="4"/>
  <c r="E32" i="4"/>
  <c r="H17" i="1"/>
  <c r="D17" i="1"/>
  <c r="J17" i="1"/>
  <c r="F45" i="1" l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<sst xmlns="http://schemas.openxmlformats.org/spreadsheetml/2006/main" count="420" uniqueCount="350">
  <si>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</si>
  <si>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</si>
  <si>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</si>
  <si>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</si>
  <si>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</si>
  <si>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</si>
  <si>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</si>
  <si>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</si>
  <si>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</si>
  <si>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</si>
  <si>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</si>
  <si>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</si>
  <si>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</si>
  <si>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</si>
  <si>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</si>
  <si>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</si>
  <si>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</si>
  <si>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</si>
  <si>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</si>
  <si>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</si>
  <si>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</si>
  <si>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</si>
  <si>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</si>
  <si>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</si>
  <si>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</si>
  <si>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</si>
  <si>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</si>
  <si>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</si>
  <si>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</si>
  <si>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</si>
  <si>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</si>
  <si>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</si>
  <si>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</si>
  <si>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</si>
  <si>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</si>
  <si>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</si>
  <si>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</si>
  <si>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</si>
  <si>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</si>
  <si>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</si>
  <si>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</si>
  <si>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</si>
  <si>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</si>
  <si>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</si>
  <si>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</si>
  <si>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</si>
  <si>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</si>
  <si>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</si>
  <si>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</si>
  <si>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</si>
  <si>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</si>
  <si>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</si>
  <si>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</si>
  <si>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</si>
  <si>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</si>
  <si>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</si>
  <si>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</si>
  <si>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</si>
  <si>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</si>
  <si>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</si>
  <si>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</si>
  <si>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</si>
  <si>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</si>
  <si>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</si>
  <si>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</si>
  <si>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</si>
  <si>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</si>
  <si>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</si>
  <si>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</si>
  <si>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</si>
  <si>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</si>
  <si>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</si>
  <si>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</si>
  <si>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</si>
  <si>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</si>
  <si>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</si>
  <si>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</si>
  <si>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</si>
  <si>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</si>
  <si>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</si>
  <si>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</si>
  <si>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</si>
  <si>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</si>
  <si>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</si>
  <si>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</si>
  <si>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</si>
  <si>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</si>
  <si>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</si>
  <si>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</si>
  <si>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</si>
  <si>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</si>
  <si>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</si>
  <si>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</si>
  <si>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</si>
  <si>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</si>
  <si>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</si>
  <si>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</si>
  <si>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</si>
  <si>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</si>
  <si>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</si>
  <si>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</si>
  <si>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</si>
  <si>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</si>
  <si>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</si>
  <si>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</si>
  <si>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</si>
  <si>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</si>
  <si>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</si>
  <si>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</si>
  <si>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</si>
  <si>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</si>
  <si>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</si>
  <si>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</si>
  <si>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</si>
  <si>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</si>
  <si>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</si>
  <si>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</si>
  <si>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</si>
  <si>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</si>
  <si>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</si>
  <si>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</si>
  <si>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</si>
  <si>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</si>
  <si>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</si>
  <si>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</si>
  <si>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</si>
  <si>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</si>
  <si>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</si>
  <si>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</si>
  <si>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</si>
  <si>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</si>
  <si>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</si>
  <si>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</si>
  <si>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</si>
  <si>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</si>
  <si>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</si>
  <si>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</si>
  <si>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</si>
  <si>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</si>
  <si>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</si>
  <si>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</si>
  <si>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</si>
  <si>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</si>
  <si>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</si>
  <si>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</si>
  <si>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</si>
  <si>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</si>
  <si>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</si>
  <si>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</si>
  <si>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</si>
  <si>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</si>
  <si>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</si>
  <si>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</si>
  <si>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</si>
  <si>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</si>
  <si>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</si>
  <si>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</si>
  <si>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</si>
  <si>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</si>
  <si>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</si>
  <si>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</si>
  <si>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</si>
  <si>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</si>
  <si>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</si>
  <si>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</si>
  <si>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</si>
  <si>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</si>
  <si>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</si>
  <si>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</si>
  <si>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</si>
  <si>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</si>
  <si>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</si>
  <si>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</si>
  <si>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</si>
  <si>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</si>
  <si>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</si>
  <si>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</si>
  <si>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</si>
  <si>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</si>
  <si>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</si>
  <si>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</si>
  <si>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</si>
  <si>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</si>
  <si>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</si>
  <si>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</si>
  <si>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</si>
  <si>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</si>
  <si>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</si>
  <si>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</si>
  <si>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</si>
  <si>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</si>
  <si>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</si>
  <si>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</si>
  <si>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</si>
  <si>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</si>
  <si>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</si>
  <si>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</si>
  <si>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</si>
  <si>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</si>
  <si>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</si>
  <si>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</si>
  <si>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</si>
  <si>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</si>
  <si>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</si>
  <si>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</si>
  <si>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</si>
  <si>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</si>
  <si>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</si>
  <si>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</si>
  <si>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</si>
  <si>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</si>
  <si>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</si>
  <si>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</si>
  <si>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</si>
  <si>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</si>
  <si>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</si>
  <si>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</si>
  <si>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</si>
  <si>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</si>
  <si>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</si>
  <si>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</si>
  <si>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</si>
  <si>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</si>
  <si>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</si>
  <si>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</si>
  <si>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</si>
  <si>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</si>
  <si>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</si>
  <si>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</si>
  <si>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</si>
  <si>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</si>
  <si>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</si>
  <si>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</si>
  <si>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</si>
  <si>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</si>
  <si>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</si>
  <si>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</si>
  <si>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</si>
  <si>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</si>
  <si>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</si>
  <si>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</si>
  <si>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</si>
  <si>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</si>
  <si>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</si>
  <si>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</si>
  <si>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</si>
  <si>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</si>
  <si>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</si>
  <si>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</si>
  <si>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</si>
  <si>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</si>
  <si>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</si>
  <si>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</si>
  <si>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</si>
  <si>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</si>
  <si>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</si>
  <si>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</si>
  <si>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</si>
  <si>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</si>
  <si>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</si>
  <si>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</si>
  <si>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</si>
  <si>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</si>
  <si>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</si>
  <si>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</si>
  <si>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</si>
  <si>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</si>
  <si>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</si>
  <si>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</si>
  <si>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</si>
  <si>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</si>
  <si>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</si>
  <si>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</si>
  <si>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</si>
  <si>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</si>
  <si>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</si>
  <si>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</si>
  <si>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</si>
  <si>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</si>
  <si>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</si>
  <si>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</si>
  <si>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</si>
  <si>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</si>
  <si>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</si>
  <si>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</si>
  <si>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</si>
  <si>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</si>
  <si>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</si>
  <si>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</si>
  <si>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</si>
  <si>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</si>
  <si>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</si>
  <si>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</si>
  <si>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</si>
  <si>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</si>
  <si>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</si>
  <si>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</si>
  <si>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</si>
  <si>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</si>
  <si>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</si>
  <si>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</si>
  <si>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</si>
  <si>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</si>
  <si>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</si>
  <si>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</si>
  <si>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</si>
  <si>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</si>
  <si>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</si>
  <si>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</si>
  <si>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</si>
  <si>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</si>
  <si>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</si>
  <si>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</si>
  <si>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</si>
  <si>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</si>
  <si>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</si>
  <si>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</si>
  <si>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</si>
  <si>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</si>
  <si>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</si>
  <si>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</si>
  <si>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</si>
  <si>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</si>
  <si>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</si>
  <si>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</si>
  <si>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</si>
  <si>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</si>
  <si>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</si>
  <si>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</si>
  <si>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</si>
  <si>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</si>
  <si>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</si>
  <si>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</si>
  <si>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</si>
  <si>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</si>
  <si>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</si>
  <si>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</si>
  <si>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</si>
  <si>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</si>
  <si>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</si>
  <si>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</si>
  <si>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</si>
  <si>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</si>
  <si>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</si>
  <si>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</si>
  <si>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</si>
  <si>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a) High growth company with unproven product or product you don't trust</t>
  </si>
  <si>
    <t>Kelly's Formula: [W – (1 – W)/R] / K, Where K =</t>
  </si>
  <si>
    <t>% Allocation</t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</si>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</sst>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22" zoomScaleNormal="100" workbookViewId="0">
      <selection activeCell="D25" sqref="D2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5" t="s">
        <v>316</v>
      </c>
      <c r="D3" s="376"/>
      <c r="E3" s="15"/>
      <c r="G3" s="7" t="s">
        <v>2</v>
      </c>
      <c r="I3" s="387" t="s">
        <v>3</v>
      </c>
      <c r="J3" s="388"/>
    </row>
    <row r="4" spans="1:12" ht="15.75" customHeight="1">
      <c r="B4" s="5" t="s">
        <v>4</v>
      </c>
      <c r="C4" s="377" t="s">
        <v>317</v>
      </c>
      <c r="D4" s="378"/>
      <c r="E4" s="6"/>
      <c r="G4" s="5" t="s">
        <v>5</v>
      </c>
      <c r="I4" s="32">
        <v>9.52</v>
      </c>
      <c r="J4" s="33" t="s">
        <v>6</v>
      </c>
      <c r="K4" s="149"/>
    </row>
    <row r="5" spans="1:12" ht="15.75" customHeight="1">
      <c r="B5" s="5" t="s">
        <v>7</v>
      </c>
      <c r="C5" s="379">
        <v>44956</v>
      </c>
      <c r="D5" s="378"/>
      <c r="E5" s="120" t="str">
        <f ca="1">IF(C5+30&gt;=TODAY(),"Patience Premium","")</f>
        <v/>
      </c>
      <c r="G5" s="5" t="s">
        <v>8</v>
      </c>
      <c r="I5" s="389">
        <v>8171879936</v>
      </c>
      <c r="J5" s="39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391">
        <f>I4*I5/1000000</f>
        <v>77796.296990720002</v>
      </c>
      <c r="J6" s="392"/>
      <c r="K6" s="148"/>
    </row>
    <row r="7" spans="1:12" ht="15.75" customHeight="1">
      <c r="B7" s="136" t="s">
        <v>10</v>
      </c>
      <c r="C7" s="142">
        <f>(Data!C39*Exchange_Rate)/I4</f>
        <v>3.9252343853387543E-2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13.564241595649191</v>
      </c>
      <c r="J9" s="48">
        <f>IF(I9="NNI","NNI",1/I9)</f>
        <v>7.3723251900847581E-2</v>
      </c>
    </row>
    <row r="10" spans="1:12" ht="15.75" customHeight="1">
      <c r="B10" s="3" t="s">
        <v>256</v>
      </c>
      <c r="C10" s="279" t="s">
        <v>324</v>
      </c>
      <c r="D10" s="279">
        <v>3.4660000000000003E-2</v>
      </c>
      <c r="E10" s="5"/>
      <c r="G10" s="5" t="s">
        <v>14</v>
      </c>
      <c r="I10" s="135">
        <f>I4/(Data!C28*I12*Data!C4/Common_Shares)</f>
        <v>0.49167052468842287</v>
      </c>
      <c r="J10" s="127">
        <f>IF(Asset_Model!D60/'FCFF Model'!C4&lt;0,"Negative EV",Asset_Model!D60/'FCFF Model'!C4)</f>
        <v>2.9808360993222913</v>
      </c>
    </row>
    <row r="11" spans="1:12" ht="15.75" customHeight="1" thickBot="1">
      <c r="B11" s="288" t="s">
        <v>257</v>
      </c>
      <c r="C11" s="406">
        <f ca="1">C12-D10</f>
        <v>2.5339999999999994E-2</v>
      </c>
      <c r="D11" s="407"/>
      <c r="E11" s="13"/>
      <c r="G11" s="5" t="s">
        <v>15</v>
      </c>
      <c r="H11" s="6"/>
      <c r="I11" s="404" t="s">
        <v>6</v>
      </c>
      <c r="J11" s="405"/>
    </row>
    <row r="12" spans="1:12" ht="15.75" customHeight="1" thickTop="1">
      <c r="B12" s="289" t="s">
        <v>143</v>
      </c>
      <c r="C12" s="402">
        <f ca="1">IF(C10="CN",8%,6%)*IF($C$5+30&gt;=TODAY(),1.2,1)</f>
        <v>0.06</v>
      </c>
      <c r="D12" s="403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332</v>
      </c>
      <c r="D14" s="239"/>
      <c r="E14" s="190">
        <f ca="1">'FCFF Model'!C27</f>
        <v>10.38118789234521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325</v>
      </c>
      <c r="J15" s="88" t="s">
        <v>20</v>
      </c>
    </row>
    <row r="16" spans="1:12" ht="15.75" customHeight="1">
      <c r="B16" s="128">
        <f>I4</f>
        <v>9.52</v>
      </c>
      <c r="C16" s="359"/>
      <c r="D16" s="156">
        <f ca="1">I36/B16-1</f>
        <v>8.9046645096271249E-3</v>
      </c>
      <c r="E16" s="396" t="s">
        <v>23</v>
      </c>
      <c r="F16" s="393">
        <f>('FCFF Model'!G16)*Exchange_Rate</f>
        <v>5.902449981989065</v>
      </c>
      <c r="G16" s="396" t="s">
        <v>24</v>
      </c>
      <c r="H16" s="355">
        <f>B16-$F$16</f>
        <v>3.6175500180109346</v>
      </c>
      <c r="I16" s="414">
        <v>0.42</v>
      </c>
      <c r="J16" s="158">
        <f>I16/B16</f>
        <v>4.4117647058823532E-2</v>
      </c>
    </row>
    <row r="17" spans="1:10" ht="15.75" customHeight="1">
      <c r="B17" s="269">
        <f ca="1">E14/(1+C17)</f>
        <v>9.4374435384956445</v>
      </c>
      <c r="C17" s="360">
        <v>0.1</v>
      </c>
      <c r="D17" s="268">
        <f ca="1">I36/B17-1</f>
        <v>1.7730317214981417E-2</v>
      </c>
      <c r="E17" s="397"/>
      <c r="F17" s="394"/>
      <c r="G17" s="397"/>
      <c r="H17" s="356">
        <f ca="1">B17-$F$16</f>
        <v>3.5349935565065795</v>
      </c>
      <c r="I17" s="415"/>
      <c r="J17" s="159">
        <f ca="1">I16/B17</f>
        <v>4.4503577508761362E-2</v>
      </c>
    </row>
    <row r="18" spans="1:10" ht="15.75" customHeight="1">
      <c r="B18" s="323">
        <f>C35</f>
        <v>9</v>
      </c>
      <c r="C18" s="358"/>
      <c r="D18" s="157">
        <f ca="1">I36/B18-1</f>
        <v>6.7196934014627674E-2</v>
      </c>
      <c r="E18" s="398"/>
      <c r="F18" s="395"/>
      <c r="G18" s="398"/>
      <c r="H18" s="357">
        <f>B18-$F$16</f>
        <v>3.097550018010935</v>
      </c>
      <c r="I18" s="416"/>
      <c r="J18" s="160">
        <f>I16/B18</f>
        <v>4.6666666666666662E-2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2" t="s">
        <v>319</v>
      </c>
      <c r="D21" s="383"/>
      <c r="E21" s="383"/>
      <c r="F21" s="383"/>
      <c r="G21" s="383"/>
      <c r="H21" s="383"/>
      <c r="I21" s="383"/>
      <c r="J21" s="384"/>
    </row>
    <row r="22" spans="1:10" ht="52.5" customHeight="1">
      <c r="A22" s="6"/>
      <c r="B22" s="24" t="s">
        <v>27</v>
      </c>
      <c r="C22" s="400" t="s">
        <v>320</v>
      </c>
      <c r="D22" s="401"/>
      <c r="E22" s="401"/>
      <c r="F22" s="401"/>
      <c r="G22" s="400" t="s">
        <v>322</v>
      </c>
      <c r="H22" s="400"/>
      <c r="I22" s="401"/>
      <c r="J22" s="401"/>
    </row>
    <row r="23" spans="1:10" ht="52.5" customHeight="1">
      <c r="A23" s="6"/>
      <c r="B23" s="25" t="s">
        <v>28</v>
      </c>
      <c r="C23" s="385" t="s">
        <v>321</v>
      </c>
      <c r="D23" s="386"/>
      <c r="E23" s="386"/>
      <c r="F23" s="386"/>
      <c r="G23" s="385" t="s">
        <v>323</v>
      </c>
      <c r="H23" s="385"/>
      <c r="I23" s="386"/>
      <c r="J23" s="386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2" t="s">
        <v>349</v>
      </c>
      <c r="I25" s="30"/>
      <c r="J25" s="363">
        <v>0.25</v>
      </c>
    </row>
    <row r="26" spans="1:10" ht="15.75" customHeight="1">
      <c r="B26" s="23" t="s">
        <v>31</v>
      </c>
      <c r="C26" s="380">
        <v>44970</v>
      </c>
      <c r="D26" s="381"/>
      <c r="E26" s="420" t="str">
        <f>IF(C26="","","Action_Planning")</f>
        <v>Action_Planning</v>
      </c>
      <c r="F26" s="421"/>
      <c r="G26" s="421"/>
      <c r="H26" s="422"/>
      <c r="I26" s="399" t="s">
        <v>32</v>
      </c>
      <c r="J26" s="399"/>
    </row>
    <row r="27" spans="1:10" ht="15.75" customHeight="1">
      <c r="B27" s="23" t="s">
        <v>33</v>
      </c>
      <c r="C27" s="413">
        <f>C31/D25</f>
        <v>0.14975757575757576</v>
      </c>
      <c r="D27" s="412"/>
      <c r="E27" s="411">
        <f>E31/D25</f>
        <v>5.4545454545454543E-2</v>
      </c>
      <c r="F27" s="412"/>
      <c r="G27" s="418">
        <f>G31/D25</f>
        <v>0</v>
      </c>
      <c r="H27" s="419"/>
      <c r="I27" s="417">
        <f>C27+E27+G27</f>
        <v>0.20430303030303029</v>
      </c>
      <c r="J27" s="417"/>
    </row>
    <row r="28" spans="1:10" ht="15.75" customHeight="1">
      <c r="B28" s="23" t="s">
        <v>34</v>
      </c>
      <c r="C28" s="436">
        <v>10000</v>
      </c>
      <c r="D28" s="401"/>
      <c r="E28" s="436">
        <v>4000</v>
      </c>
      <c r="F28" s="401"/>
      <c r="G28" s="389"/>
      <c r="H28" s="390"/>
      <c r="I28" s="426">
        <f>C28+E28+G28</f>
        <v>14000</v>
      </c>
      <c r="J28" s="426"/>
    </row>
    <row r="29" spans="1:10" ht="15.75" customHeight="1">
      <c r="B29" s="23" t="s">
        <v>35</v>
      </c>
      <c r="C29" s="437">
        <v>9.8840000000000003</v>
      </c>
      <c r="D29" s="401"/>
      <c r="E29" s="437">
        <v>9</v>
      </c>
      <c r="F29" s="401"/>
      <c r="G29" s="409">
        <v>8.6</v>
      </c>
      <c r="H29" s="410"/>
      <c r="I29" s="408"/>
      <c r="J29" s="408"/>
    </row>
    <row r="30" spans="1:10" ht="15.75" customHeight="1">
      <c r="B30" s="23" t="s">
        <v>36</v>
      </c>
      <c r="C30" s="424">
        <f>C29*$I$5/1000000</f>
        <v>80770.861287423992</v>
      </c>
      <c r="D30" s="432"/>
      <c r="E30" s="424">
        <f>E29*$I$5/1000000</f>
        <v>73546.919424000007</v>
      </c>
      <c r="F30" s="432"/>
      <c r="G30" s="371">
        <f>G29*$I$5/1000000</f>
        <v>70278.167449599991</v>
      </c>
      <c r="H30" s="372"/>
      <c r="I30" s="423"/>
      <c r="J30" s="423"/>
    </row>
    <row r="31" spans="1:10" ht="15.75" customHeight="1">
      <c r="B31" s="2" t="s">
        <v>37</v>
      </c>
      <c r="C31" s="433">
        <f>C28*C29</f>
        <v>98840</v>
      </c>
      <c r="D31" s="434"/>
      <c r="E31" s="425">
        <f>E28*E29</f>
        <v>36000</v>
      </c>
      <c r="F31" s="435"/>
      <c r="G31" s="373">
        <f>G28*G29</f>
        <v>0</v>
      </c>
      <c r="H31" s="374"/>
      <c r="I31" s="425">
        <f>C31+E31+G31</f>
        <v>134840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9.6314285714285717</v>
      </c>
      <c r="F32" s="412"/>
      <c r="G32" s="115"/>
      <c r="H32" s="115"/>
      <c r="I32" s="427">
        <f>IF(I31=0,"",I31/I28)</f>
        <v>9.6314285714285717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78706.877897874278</v>
      </c>
      <c r="F33" s="432"/>
      <c r="G33" s="116"/>
      <c r="H33" s="116"/>
      <c r="I33" s="424">
        <f>IF(I32="","",I32*$I$5/1000000)</f>
        <v>78706.877897874278</v>
      </c>
      <c r="J33" s="424"/>
    </row>
    <row r="34" spans="2:11" ht="15.75" customHeight="1"/>
    <row r="35" spans="2:11" ht="15.75" customHeight="1">
      <c r="B35" s="143" t="s">
        <v>288</v>
      </c>
      <c r="C35" s="367">
        <f>E29</f>
        <v>9</v>
      </c>
      <c r="D35" s="368"/>
      <c r="G35" s="364" t="s">
        <v>336</v>
      </c>
      <c r="H35" s="364"/>
      <c r="I35" s="365">
        <f ca="1">'FCFF Model'!C31</f>
        <v>11.257972431790977</v>
      </c>
      <c r="J35" s="366"/>
    </row>
    <row r="36" spans="2:11" ht="15.75" customHeight="1">
      <c r="B36" s="143" t="s">
        <v>337</v>
      </c>
      <c r="C36" s="367">
        <f>E32</f>
        <v>9.6314285714285717</v>
      </c>
      <c r="D36" s="368"/>
      <c r="G36" s="369" t="s">
        <v>334</v>
      </c>
      <c r="H36" s="370"/>
      <c r="I36" s="365">
        <f ca="1">'FCFF Model'!C32</f>
        <v>9.6047724061316497</v>
      </c>
      <c r="J36" s="366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345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339</v>
      </c>
      <c r="F44" s="258" t="s">
        <v>340</v>
      </c>
    </row>
    <row r="45" spans="2:11" ht="15.75" customHeight="1">
      <c r="B45" s="3" t="s">
        <v>303</v>
      </c>
      <c r="E45" s="329">
        <f ca="1">I35/C29-1</f>
        <v>0.13900975635279011</v>
      </c>
      <c r="F45" s="332">
        <f ca="1">I35/C36-1</f>
        <v>0.168878775178535</v>
      </c>
    </row>
    <row r="46" spans="2:11" ht="15.75" customHeight="1">
      <c r="B46" s="3" t="s">
        <v>304</v>
      </c>
      <c r="E46" s="329">
        <f ca="1">'FCFF Model'!C32/C29-1</f>
        <v>-2.8250464778262874E-2</v>
      </c>
      <c r="F46" s="332">
        <f ca="1">'FCFF Model'!C32/C36-1</f>
        <v>-2.7676232138601486E-3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0.58456834929991919</v>
      </c>
      <c r="F48" s="329">
        <f ca="1">IF(F45&lt;=0,0,AVERAGE(F39:F41,1-F42,F45/J25))</f>
        <v>0.60846356436051507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4.9206183842946976</v>
      </c>
      <c r="F49" s="328">
        <f ca="1">IF(F46&gt;=0,100,F45/ABS(F46))</f>
        <v>61.019424296196355</v>
      </c>
      <c r="G49" s="73"/>
    </row>
    <row r="50" spans="2:9" ht="15.75" customHeight="1">
      <c r="B50" s="3" t="s">
        <v>347</v>
      </c>
      <c r="E50" s="361">
        <f ca="1">MAX(J25*2/E45,1)</f>
        <v>3.5968698393446563</v>
      </c>
      <c r="F50" s="361">
        <f ca="1">MAX(J25*2/F45,1)</f>
        <v>2.9607036140060274</v>
      </c>
      <c r="G50" s="330"/>
      <c r="H50" s="84"/>
      <c r="I50" s="84"/>
    </row>
    <row r="51" spans="2:9" ht="15.75" customHeight="1">
      <c r="B51" s="3" t="s">
        <v>348</v>
      </c>
      <c r="E51" s="327">
        <f ca="1">MIN(MAX(E48-ABS((1-E48)/E49),0)/E50,H51)</f>
        <v>0.13904913318371245</v>
      </c>
      <c r="F51" s="327">
        <f ca="1">MIN(MAX(F48-ABS((1-F48)/F49),0)/F50,H51)</f>
        <v>0.20334591232324317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346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3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5:H35"/>
    <mergeCell ref="I35:J35"/>
    <mergeCell ref="C36:D36"/>
    <mergeCell ref="C35:D35"/>
    <mergeCell ref="I36:J36"/>
    <mergeCell ref="G36:H36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9" workbookViewId="0">
      <selection activeCell="D36" sqref="D3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318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6739518.3509999998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6739518.3509999998</v>
      </c>
      <c r="E53" s="434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8">
        <v>0</v>
      </c>
      <c r="E54" s="401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40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16830289.627719991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0.5934554144758829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0.15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326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327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328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329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330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6" zoomScaleNormal="100" zoomScalePageLayoutView="80" workbookViewId="0">
      <selection activeCell="C31" sqref="C3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1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331</v>
      </c>
    </row>
    <row r="24" spans="2:9" ht="15.75" customHeight="1" thickTop="1">
      <c r="C24" s="6"/>
      <c r="D24" s="6"/>
      <c r="E24" s="6"/>
      <c r="F24" s="346" t="s">
        <v>333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332</v>
      </c>
      <c r="C27" s="238">
        <f ca="1">MIN(G24,Asset_Model!D7)+ABS(G24-Asset_Model!D7)*'Qualitative Analysis'!$E$64</f>
        <v>10.38118789234521</v>
      </c>
      <c r="D27" s="117" t="str">
        <f>Dashboard!J4</f>
        <v>HKD</v>
      </c>
      <c r="E27" s="118">
        <f ca="1">(C27-G16)/C9</f>
        <v>8.879760928757495</v>
      </c>
      <c r="F27" s="155">
        <f ca="1">C27/(Data!C28*Exchange_Rate*Data!C4/Common_Shares)</f>
        <v>0.5361474892771505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341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338</v>
      </c>
    </row>
    <row r="31" spans="2:9" ht="15.75" customHeight="1">
      <c r="B31" s="352" t="s">
        <v>311</v>
      </c>
      <c r="C31" s="350">
        <f ca="1">MIN(C30,C27)+ABS(C30-C27)*'Qualitative Analysis'!E8</f>
        <v>11.257972431790977</v>
      </c>
      <c r="D31" s="334" t="str">
        <f>D30</f>
        <v>HKD</v>
      </c>
      <c r="E31" s="118">
        <f ca="1">(C31-G16)/C9</f>
        <v>10.618116075261268</v>
      </c>
      <c r="F31" s="155">
        <f ca="1">C31/(Asset_Model!I3*Exchange_Rate*Data!C4/Common_Shares)</f>
        <v>0.57743457263282683</v>
      </c>
      <c r="I31" s="73"/>
    </row>
    <row r="32" spans="2:9" ht="15.75" customHeight="1">
      <c r="B32" s="333" t="s">
        <v>334</v>
      </c>
      <c r="C32" s="350">
        <f ca="1">MIN(G24,C27)+ABS(G24-C27)*'Qualitative Analysis'!E8</f>
        <v>9.6047724061316497</v>
      </c>
      <c r="D32" s="334" t="str">
        <f>D30</f>
        <v>HKD</v>
      </c>
      <c r="E32" s="118">
        <f ca="1">(C32-G16)/C9</f>
        <v>7.3404022886773053</v>
      </c>
      <c r="F32" s="155">
        <f ca="1">C32/(Asset_Model!I3*Exchange_Rate*Data!C4/Common_Shares)</f>
        <v>0.49264000983948847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342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343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2023-06-21T10:35:29Z</dcterms:modified>
  <cp:category/>
  <cp:contentStatus/>
</cp:coreProperties>
</file>