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E549F1DD-E1A0-43B6-9416-AC82C2DAFF9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0" i="4" l="1"/>
  <c r="D7" i="4"/>
  <c r="C7" i="4"/>
  <c r="E10" i="7"/>
  <c r="E9" i="7"/>
  <c r="E13" i="7"/>
  <c r="E12" i="7" s="1"/>
  <c r="C13" i="7"/>
  <c r="E11" i="3"/>
  <c r="E12" i="3"/>
  <c r="C9" i="7"/>
  <c r="C35" i="1"/>
  <c r="B16" i="1"/>
  <c r="I32" i="3" l="1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H35" i="2" s="1"/>
  <c r="I34" i="2"/>
  <c r="I35" i="2" s="1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C25" i="3"/>
  <c r="I7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6" i="7" l="1"/>
  <c r="D4" i="7"/>
  <c r="D5" i="7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E30" i="5"/>
  <c r="C10" i="7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6" i="7" l="1"/>
  <c r="F4" i="7"/>
  <c r="F5" i="7"/>
  <c r="E11" i="7"/>
  <c r="E16" i="7" s="1"/>
  <c r="G15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C19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8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E45" i="1" l="1"/>
  <c r="F45" i="1"/>
  <c r="E14" i="1"/>
  <c r="B17" i="1" s="1"/>
  <c r="E27" i="4"/>
  <c r="F27" i="4"/>
  <c r="F31" i="4"/>
  <c r="E31" i="4"/>
  <c r="C32" i="4"/>
  <c r="D18" i="1"/>
  <c r="D16" i="1"/>
  <c r="E46" i="1" l="1"/>
  <c r="E49" i="1" s="1"/>
  <c r="F46" i="1"/>
  <c r="F49" i="1" s="1"/>
  <c r="F48" i="1"/>
  <c r="F50" i="1"/>
  <c r="E48" i="1"/>
  <c r="E50" i="1"/>
  <c r="F32" i="4"/>
  <c r="E32" i="4"/>
  <c r="I36" i="1"/>
  <c r="H17" i="1"/>
  <c r="D17" i="1"/>
  <c r="J17" i="1"/>
  <c r="F51" i="1" l="1"/>
  <c r="E51" i="1"/>
</calcChain>
</file>

<file path=xl/sharedStrings.xml><?xml version="1.0" encoding="utf-8"?>
<sst xmlns="http://schemas.openxmlformats.org/spreadsheetml/2006/main" count="411" uniqueCount="341">
  <si>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</si>
  <si>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</si>
  <si>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</si>
  <si>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</si>
  <si>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</si>
  <si>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</si>
  <si>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</si>
  <si>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</si>
  <si>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</si>
  <si>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</si>
  <si>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</si>
  <si>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</si>
  <si>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</si>
  <si>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</si>
  <si>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</si>
  <si>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</si>
  <si>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</si>
  <si>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</si>
  <si>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</si>
  <si>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</si>
  <si>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</si>
  <si>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</si>
  <si>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</si>
  <si>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</si>
  <si>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</si>
  <si>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</si>
  <si>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</si>
  <si>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</si>
  <si>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</si>
  <si>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</si>
  <si>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</si>
  <si>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</si>
  <si>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</si>
  <si>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</si>
  <si>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</si>
  <si>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</si>
  <si>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</si>
  <si>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</si>
  <si>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</si>
  <si>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</si>
  <si>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</si>
  <si>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</si>
  <si>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</si>
  <si>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</si>
  <si>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</si>
  <si>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</si>
  <si>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</si>
  <si>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</si>
  <si>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</si>
  <si>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</si>
  <si>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</si>
  <si>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</si>
  <si>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</si>
  <si>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</si>
  <si>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</si>
  <si>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</si>
  <si>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</si>
  <si>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</si>
  <si>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</si>
  <si>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</si>
  <si>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</si>
  <si>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</si>
  <si>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</si>
  <si>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</si>
  <si>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</si>
  <si>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</si>
  <si>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</si>
  <si>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</si>
  <si>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</si>
  <si>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</si>
  <si>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</si>
  <si>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</si>
  <si>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</si>
  <si>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</si>
  <si>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</si>
  <si>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</si>
  <si>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</si>
  <si>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</si>
  <si>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</si>
  <si>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</si>
  <si>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</si>
  <si>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</si>
  <si>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</si>
  <si>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</si>
  <si>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</si>
  <si>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</si>
  <si>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</si>
  <si>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</si>
  <si>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</si>
  <si>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</si>
  <si>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</si>
  <si>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</si>
  <si>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</si>
  <si>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</si>
  <si>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</si>
  <si>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</si>
  <si>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</si>
  <si>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</si>
  <si>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</si>
  <si>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</si>
  <si>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</si>
  <si>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</si>
  <si>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</si>
  <si>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</si>
  <si>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</si>
  <si>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</si>
  <si>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</si>
  <si>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</si>
  <si>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</si>
  <si>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</si>
  <si>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</si>
  <si>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</si>
  <si>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</si>
  <si>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</si>
  <si>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</si>
  <si>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</si>
  <si>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</si>
  <si>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</si>
  <si>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</si>
  <si>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</si>
  <si>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</si>
  <si>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</si>
  <si>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</si>
  <si>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</si>
  <si>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</si>
  <si>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</si>
  <si>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</si>
  <si>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</si>
  <si>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</si>
  <si>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</si>
  <si>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</si>
  <si>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</si>
  <si>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</si>
  <si>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</si>
  <si>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</si>
  <si>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</si>
  <si>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</si>
  <si>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</si>
  <si>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</si>
  <si>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</si>
  <si>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</si>
  <si>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</si>
  <si>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</si>
  <si>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</si>
  <si>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</si>
  <si>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</si>
  <si>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</si>
  <si>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</si>
  <si>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</si>
  <si>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</si>
  <si>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</si>
  <si>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</si>
  <si>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</si>
  <si>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</si>
  <si>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</si>
  <si>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</si>
  <si>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</si>
  <si>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</si>
  <si>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</si>
  <si>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</si>
  <si>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</si>
  <si>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</si>
  <si>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</si>
  <si>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</si>
  <si>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</si>
  <si>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</si>
  <si>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</si>
  <si>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</si>
  <si>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</si>
  <si>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</si>
  <si>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</si>
  <si>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</si>
  <si>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</si>
  <si>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</si>
  <si>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</si>
  <si>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</si>
  <si>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</si>
  <si>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</si>
  <si>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</si>
  <si>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</si>
  <si>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</si>
  <si>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</si>
  <si>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</si>
  <si>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</si>
  <si>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</si>
  <si>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</si>
  <si>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</si>
  <si>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</si>
  <si>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</si>
  <si>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</si>
  <si>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</si>
  <si>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</si>
  <si>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</si>
  <si>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</si>
  <si>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</si>
  <si>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</si>
  <si>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</si>
  <si>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</si>
  <si>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</si>
  <si>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</si>
  <si>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</si>
  <si>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</si>
  <si>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</si>
  <si>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</si>
  <si>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</si>
  <si>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</si>
  <si>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</si>
  <si>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</si>
  <si>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</si>
  <si>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</si>
  <si>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</si>
  <si>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</si>
  <si>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</si>
  <si>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</si>
  <si>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</si>
  <si>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</si>
  <si>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</si>
  <si>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</si>
  <si>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</si>
  <si>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</si>
  <si>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</si>
  <si>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</si>
  <si>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</si>
  <si>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</si>
  <si>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</si>
  <si>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</si>
  <si>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</si>
  <si>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</si>
  <si>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</si>
  <si>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</si>
  <si>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</si>
  <si>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</si>
  <si>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</si>
  <si>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</si>
  <si>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</si>
  <si>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</si>
  <si>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</si>
  <si>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</si>
  <si>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</si>
  <si>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</si>
  <si>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</si>
  <si>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</si>
  <si>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</si>
  <si>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</si>
  <si>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</si>
  <si>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</si>
  <si>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</si>
  <si>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</si>
  <si>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</si>
  <si>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</si>
  <si>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</si>
  <si>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</si>
  <si>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</si>
  <si>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</si>
  <si>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</si>
  <si>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</si>
  <si>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</si>
  <si>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</si>
  <si>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</si>
  <si>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</si>
  <si>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</si>
  <si>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</si>
  <si>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</si>
  <si>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</si>
  <si>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</si>
  <si>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</si>
  <si>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</si>
  <si>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</si>
  <si>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</si>
  <si>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</si>
  <si>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</si>
  <si>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</si>
  <si>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</si>
  <si>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</si>
  <si>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</si>
  <si>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</si>
  <si>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</si>
  <si>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</si>
  <si>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</si>
  <si>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</si>
  <si>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</si>
  <si>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</si>
  <si>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</si>
  <si>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</si>
  <si>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</si>
  <si>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</si>
  <si>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</si>
  <si>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</si>
  <si>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</si>
  <si>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</si>
  <si>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</si>
  <si>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</si>
  <si>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</si>
  <si>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</si>
  <si>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</si>
  <si>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</si>
  <si>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</si>
  <si>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</si>
  <si>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</si>
  <si>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</si>
  <si>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</si>
  <si>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</si>
  <si>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</si>
  <si>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</si>
  <si>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</si>
  <si>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</si>
  <si>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</si>
  <si>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</si>
  <si>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</si>
  <si>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</si>
  <si>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</si>
  <si>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</si>
  <si>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</si>
  <si>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</si>
  <si>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</si>
  <si>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</si>
  <si>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</si>
  <si>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</si>
  <si>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</si>
  <si>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</si>
  <si>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</si>
  <si>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</si>
  <si>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</si>
  <si>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</si>
  <si>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</si>
  <si>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</si>
  <si>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</si>
  <si>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</si>
  <si>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</si>
  <si>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0806.HK</t>
  </si>
  <si>
    <t>VALUE PARTNERS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</si>
  <si>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</si>
  <si>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</si>
  <si>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The performance is at a historical low point, which ,given its strong BS and business, would likely give rise to the reversion to mean effect at the market recovery.</t>
  </si>
  <si>
    <t>1. The AUM has fallen so much to a point that the company is no longer operatingly profitable
2. depends largely on uncontrolable market performance.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</si>
  <si>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</si>
  <si>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</si>
  <si>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</si>
  <si>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</si>
  <si>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estimated using a PB of 1.45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</si>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</sst>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10" fontId="2" fillId="12" borderId="71" xfId="0" applyNumberFormat="1" applyFont="1" applyFill="1" applyBorder="1" applyAlignment="1">
      <alignment vertical="center"/>
    </xf>
    <xf numFmtId="0" fontId="5" fillId="12" borderId="69" xfId="0" applyFont="1" applyFill="1" applyBorder="1"/>
    <xf numFmtId="10" fontId="2" fillId="8" borderId="41" xfId="0" applyNumberFormat="1" applyFont="1" applyFill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D16" sqref="D16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5" t="s">
        <v>329</v>
      </c>
      <c r="D3" s="376"/>
      <c r="E3" s="15"/>
      <c r="G3" s="7" t="s">
        <v>2</v>
      </c>
      <c r="I3" s="387" t="s">
        <v>3</v>
      </c>
      <c r="J3" s="388"/>
    </row>
    <row r="4" spans="1:12" ht="15.75" customHeight="1">
      <c r="B4" s="5" t="s">
        <v>4</v>
      </c>
      <c r="C4" s="377" t="s">
        <v>330</v>
      </c>
      <c r="D4" s="378"/>
      <c r="E4" s="6"/>
      <c r="G4" s="5" t="s">
        <v>5</v>
      </c>
      <c r="I4" s="32">
        <v>2.7</v>
      </c>
      <c r="J4" s="33" t="s">
        <v>6</v>
      </c>
      <c r="K4" s="149"/>
    </row>
    <row r="5" spans="1:12" ht="15.75" customHeight="1">
      <c r="B5" s="5" t="s">
        <v>7</v>
      </c>
      <c r="C5" s="379">
        <v>44771</v>
      </c>
      <c r="D5" s="378"/>
      <c r="E5" s="120" t="str">
        <f ca="1">IF(C5+30&gt;=TODAY(),"Patience Premium","")</f>
        <v/>
      </c>
      <c r="G5" s="5" t="s">
        <v>8</v>
      </c>
      <c r="I5" s="389">
        <v>1826710016</v>
      </c>
      <c r="J5" s="390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91">
        <f>I4*I5/1000000</f>
        <v>4932.1170432000008</v>
      </c>
      <c r="J6" s="392"/>
      <c r="K6" s="148"/>
    </row>
    <row r="7" spans="1:12" ht="15.75" customHeight="1">
      <c r="B7" s="136" t="s">
        <v>10</v>
      </c>
      <c r="C7" s="142">
        <f>(Data!C39*Exchange_Rate)/I4</f>
        <v>2.9932582440139278E-2</v>
      </c>
      <c r="D7" s="142">
        <f>(Data!C40*Exchange_Rate)/I4</f>
        <v>1.1809533206496957E-2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>
      <c r="B10" s="3" t="s">
        <v>255</v>
      </c>
      <c r="C10" s="279" t="s">
        <v>325</v>
      </c>
      <c r="D10" s="279">
        <v>2.8999999999999998E-2</v>
      </c>
      <c r="E10" s="5"/>
      <c r="G10" s="5" t="s">
        <v>14</v>
      </c>
      <c r="I10" s="135">
        <f>I4/(Data!C28*I12*Data!C4/Common_Shares)</f>
        <v>1.0974407326422351</v>
      </c>
      <c r="J10" s="127">
        <f>IF(Asset_Model!D60/'FCFF Model'!C4&lt;0,"Negative EV",Asset_Model!D60/'FCFF Model'!C4)</f>
        <v>24.780102998751822</v>
      </c>
    </row>
    <row r="11" spans="1:12" ht="15.75" customHeight="1" thickBot="1">
      <c r="B11" s="288" t="s">
        <v>256</v>
      </c>
      <c r="C11" s="406">
        <f ca="1">C12-D10</f>
        <v>5.1000000000000004E-2</v>
      </c>
      <c r="D11" s="407"/>
      <c r="E11" s="13"/>
      <c r="G11" s="5" t="s">
        <v>15</v>
      </c>
      <c r="H11" s="6"/>
      <c r="I11" s="404" t="s">
        <v>6</v>
      </c>
      <c r="J11" s="405"/>
    </row>
    <row r="12" spans="1:12" ht="15.75" customHeight="1" thickTop="1">
      <c r="B12" s="289" t="s">
        <v>143</v>
      </c>
      <c r="C12" s="402">
        <f ca="1">IF(C10="CN",8%,6%)*IF($C$5+30&gt;=TODAY(),1.2,1)</f>
        <v>0.08</v>
      </c>
      <c r="D12" s="403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1.9686622948637991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2.7</v>
      </c>
      <c r="C16" s="359"/>
      <c r="D16" s="156">
        <f ca="1">I35/B16-1</f>
        <v>0.10809205696137236</v>
      </c>
      <c r="E16" s="396" t="s">
        <v>23</v>
      </c>
      <c r="F16" s="393">
        <f>('FCFF Model'!G16)*Exchange_Rate</f>
        <v>1.9065785589911606</v>
      </c>
      <c r="G16" s="396" t="s">
        <v>24</v>
      </c>
      <c r="H16" s="355">
        <f>B16-$F$16</f>
        <v>0.7934214410088396</v>
      </c>
      <c r="I16" s="414">
        <v>0</v>
      </c>
      <c r="J16" s="158">
        <f>I16/B16</f>
        <v>0</v>
      </c>
    </row>
    <row r="17" spans="1:10" ht="15.75" customHeight="1">
      <c r="B17" s="269">
        <f ca="1">E14/(1+C17)</f>
        <v>1.7896929953307263</v>
      </c>
      <c r="C17" s="360">
        <v>0.1</v>
      </c>
      <c r="D17" s="268">
        <f ca="1">I35/B17-1</f>
        <v>0.67171048978868386</v>
      </c>
      <c r="E17" s="397"/>
      <c r="F17" s="394"/>
      <c r="G17" s="397"/>
      <c r="H17" s="356">
        <f ca="1">B17-$F$16</f>
        <v>-0.11688556366043423</v>
      </c>
      <c r="I17" s="415"/>
      <c r="J17" s="159">
        <f ca="1">I16/B17</f>
        <v>0</v>
      </c>
    </row>
    <row r="18" spans="1:10" ht="15.75" customHeight="1">
      <c r="B18" s="323">
        <f>C35</f>
        <v>2.2999999999999998</v>
      </c>
      <c r="C18" s="358"/>
      <c r="D18" s="157">
        <f ca="1">I35/B18-1</f>
        <v>0.30080371904161107</v>
      </c>
      <c r="E18" s="398"/>
      <c r="F18" s="395"/>
      <c r="G18" s="398"/>
      <c r="H18" s="357">
        <f>B18-$F$16</f>
        <v>0.39342144100883925</v>
      </c>
      <c r="I18" s="416"/>
      <c r="J18" s="160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82" t="s">
        <v>331</v>
      </c>
      <c r="D21" s="383"/>
      <c r="E21" s="383"/>
      <c r="F21" s="383"/>
      <c r="G21" s="383"/>
      <c r="H21" s="383"/>
      <c r="I21" s="383"/>
      <c r="J21" s="384"/>
    </row>
    <row r="22" spans="1:10" ht="52.5" customHeight="1">
      <c r="A22" s="6"/>
      <c r="B22" s="24" t="s">
        <v>27</v>
      </c>
      <c r="C22" s="400" t="s">
        <v>332</v>
      </c>
      <c r="D22" s="401"/>
      <c r="E22" s="401"/>
      <c r="F22" s="401"/>
      <c r="G22" s="400" t="s">
        <v>334</v>
      </c>
      <c r="H22" s="400"/>
      <c r="I22" s="401"/>
      <c r="J22" s="401"/>
    </row>
    <row r="23" spans="1:10" ht="52.5" customHeight="1">
      <c r="A23" s="6"/>
      <c r="B23" s="25" t="s">
        <v>28</v>
      </c>
      <c r="C23" s="385" t="s">
        <v>333</v>
      </c>
      <c r="D23" s="386"/>
      <c r="E23" s="386"/>
      <c r="F23" s="386"/>
      <c r="G23" s="385" t="s">
        <v>335</v>
      </c>
      <c r="H23" s="385"/>
      <c r="I23" s="386"/>
      <c r="J23" s="386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3" t="s">
        <v>328</v>
      </c>
      <c r="I25" s="30"/>
      <c r="J25" s="362">
        <v>0.25</v>
      </c>
    </row>
    <row r="26" spans="1:10" ht="15.75" customHeight="1">
      <c r="B26" s="23" t="s">
        <v>31</v>
      </c>
      <c r="C26" s="380"/>
      <c r="D26" s="381"/>
      <c r="E26" s="420" t="str">
        <f>IF(C26="","","Action_Planning")</f>
        <v/>
      </c>
      <c r="F26" s="421"/>
      <c r="G26" s="421"/>
      <c r="H26" s="422"/>
      <c r="I26" s="399" t="s">
        <v>32</v>
      </c>
      <c r="J26" s="399"/>
    </row>
    <row r="27" spans="1:10" ht="15.75" customHeight="1">
      <c r="B27" s="23" t="s">
        <v>33</v>
      </c>
      <c r="C27" s="413">
        <f>C31/D25</f>
        <v>0.17424242424242423</v>
      </c>
      <c r="D27" s="412"/>
      <c r="E27" s="411">
        <f>E31/D25</f>
        <v>0</v>
      </c>
      <c r="F27" s="412"/>
      <c r="G27" s="418">
        <f>G31/D25</f>
        <v>0</v>
      </c>
      <c r="H27" s="419"/>
      <c r="I27" s="417">
        <f>C27+E27+G27</f>
        <v>0.17424242424242423</v>
      </c>
      <c r="J27" s="417"/>
    </row>
    <row r="28" spans="1:10" ht="15.75" customHeight="1">
      <c r="B28" s="23" t="s">
        <v>34</v>
      </c>
      <c r="C28" s="436">
        <v>50000</v>
      </c>
      <c r="D28" s="401"/>
      <c r="E28" s="436"/>
      <c r="F28" s="401"/>
      <c r="G28" s="389"/>
      <c r="H28" s="390"/>
      <c r="I28" s="426">
        <f>C28+E28+G28</f>
        <v>50000</v>
      </c>
      <c r="J28" s="426"/>
    </row>
    <row r="29" spans="1:10" ht="15.75" customHeight="1">
      <c r="B29" s="23" t="s">
        <v>35</v>
      </c>
      <c r="C29" s="437">
        <v>2.2999999999999998</v>
      </c>
      <c r="D29" s="401"/>
      <c r="E29" s="437">
        <v>2.2999999999999998</v>
      </c>
      <c r="F29" s="401"/>
      <c r="G29" s="409"/>
      <c r="H29" s="410"/>
      <c r="I29" s="408"/>
      <c r="J29" s="408"/>
    </row>
    <row r="30" spans="1:10" ht="15.75" customHeight="1">
      <c r="B30" s="23" t="s">
        <v>36</v>
      </c>
      <c r="C30" s="424">
        <f>C29*$I$5/1000000</f>
        <v>4201.4330368000001</v>
      </c>
      <c r="D30" s="432"/>
      <c r="E30" s="424">
        <f>E29*$I$5/1000000</f>
        <v>4201.4330368000001</v>
      </c>
      <c r="F30" s="432"/>
      <c r="G30" s="371">
        <f>G29*$I$5/1000000</f>
        <v>0</v>
      </c>
      <c r="H30" s="372"/>
      <c r="I30" s="423"/>
      <c r="J30" s="423"/>
    </row>
    <row r="31" spans="1:10" ht="15.75" customHeight="1">
      <c r="B31" s="2" t="s">
        <v>37</v>
      </c>
      <c r="C31" s="433">
        <f>C28*C29</f>
        <v>114999.99999999999</v>
      </c>
      <c r="D31" s="434"/>
      <c r="E31" s="425">
        <f>E28*E29</f>
        <v>0</v>
      </c>
      <c r="F31" s="435"/>
      <c r="G31" s="373">
        <f>G28*G29</f>
        <v>0</v>
      </c>
      <c r="H31" s="374"/>
      <c r="I31" s="425">
        <f>C31+E31+G31</f>
        <v>114999.99999999999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2.2999999999999998</v>
      </c>
      <c r="F32" s="412"/>
      <c r="G32" s="115"/>
      <c r="H32" s="115"/>
      <c r="I32" s="427">
        <f>IF(I31=0,"",I31/I28)</f>
        <v>2.2999999999999998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4201.4330368000001</v>
      </c>
      <c r="F33" s="432"/>
      <c r="G33" s="116"/>
      <c r="H33" s="116"/>
      <c r="I33" s="424">
        <f>IF(I32="","",I32*$I$5/1000000)</f>
        <v>4201.4330368000001</v>
      </c>
      <c r="J33" s="424"/>
    </row>
    <row r="34" spans="2:11" ht="15.75" customHeight="1"/>
    <row r="35" spans="2:11" ht="15.75" customHeight="1">
      <c r="B35" s="143" t="s">
        <v>286</v>
      </c>
      <c r="C35" s="367">
        <f>E29</f>
        <v>2.2999999999999998</v>
      </c>
      <c r="D35" s="368"/>
      <c r="G35" s="369" t="s">
        <v>317</v>
      </c>
      <c r="H35" s="370"/>
      <c r="I35" s="365">
        <f ca="1">'FCFF Model'!C31</f>
        <v>2.9918485537957054</v>
      </c>
      <c r="J35" s="366"/>
    </row>
    <row r="36" spans="2:11" ht="15.75" customHeight="1">
      <c r="B36" s="143" t="s">
        <v>318</v>
      </c>
      <c r="C36" s="367">
        <f>E32</f>
        <v>2.2999999999999998</v>
      </c>
      <c r="D36" s="368"/>
      <c r="G36" s="364" t="s">
        <v>315</v>
      </c>
      <c r="H36" s="364"/>
      <c r="I36" s="365">
        <f ca="1">'FCFF Model'!C32</f>
        <v>1.9603905421822192</v>
      </c>
      <c r="J36" s="366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0.5228401360544217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0.30080371904161107</v>
      </c>
      <c r="F45" s="332">
        <f ca="1">I35/C36-1</f>
        <v>0.30080371904161107</v>
      </c>
    </row>
    <row r="46" spans="2:11" ht="15.75" customHeight="1">
      <c r="B46" s="3" t="s">
        <v>300</v>
      </c>
      <c r="E46" s="329">
        <f ca="1">'FCFF Model'!C32/C29-1</f>
        <v>-0.14765628600773073</v>
      </c>
      <c r="F46" s="332">
        <f ca="1">'FCFF Model'!C32/C36-1</f>
        <v>-0.14765628600773073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0.73321100244417325</v>
      </c>
      <c r="F48" s="329">
        <f ca="1">IF(F45&lt;=0,0,AVERAGE(F39:F41,1-F42,F45/J25))</f>
        <v>0.73321100244417325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2.0371887115314693</v>
      </c>
      <c r="F49" s="328">
        <f ca="1">IF(F46&gt;=0,100,F45/ABS(F46))</f>
        <v>2.0371887115314693</v>
      </c>
      <c r="G49" s="73"/>
    </row>
    <row r="50" spans="2:9" ht="15.75" customHeight="1">
      <c r="B50" s="3" t="s">
        <v>327</v>
      </c>
      <c r="E50" s="361">
        <f ca="1">MAX(J25*2/E45,1)</f>
        <v>1.6622134912196131</v>
      </c>
      <c r="F50" s="361">
        <f ca="1">MAX(J25*2/F45,1)</f>
        <v>1.6622134912196131</v>
      </c>
      <c r="G50" s="330"/>
      <c r="H50" s="84"/>
      <c r="I50" s="84"/>
    </row>
    <row r="51" spans="2:9" ht="15.75" customHeight="1">
      <c r="B51" s="3" t="s">
        <v>326</v>
      </c>
      <c r="E51" s="327">
        <f ca="1">MIN(MAX(E48-ABS((1-E48)/E49),0)/E50,H51)</f>
        <v>0.36231904770123236</v>
      </c>
      <c r="F51" s="327">
        <f ca="1">MIN(MAX(F48-ABS((1-F48)/F49),0)/F50,H51)</f>
        <v>0.36231904770123236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3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D35" sqref="D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-544315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43796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584543</v>
      </c>
      <c r="D7" s="35">
        <v>1281649</v>
      </c>
      <c r="E7" s="35">
        <v>2561449</v>
      </c>
      <c r="F7" s="35">
        <v>1603918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-0.54391334913069023</v>
      </c>
      <c r="D8" s="14">
        <f t="shared" si="1"/>
        <v>-0.49963907147868258</v>
      </c>
      <c r="E8" s="14">
        <f t="shared" si="1"/>
        <v>0.59699498353407088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500512</v>
      </c>
      <c r="D9" s="35">
        <v>915778</v>
      </c>
      <c r="E9" s="35">
        <v>1183731</v>
      </c>
      <c r="F9" s="35">
        <v>1208113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0.14375503598537662</v>
      </c>
      <c r="D10" s="14">
        <f t="shared" si="2"/>
        <v>0.28546895444852688</v>
      </c>
      <c r="E10" s="14">
        <f t="shared" si="2"/>
        <v>0.53786665282033719</v>
      </c>
      <c r="F10" s="14">
        <f t="shared" si="2"/>
        <v>0.24677383756526206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40235</v>
      </c>
      <c r="D11" s="35">
        <v>38420</v>
      </c>
      <c r="E11" s="35">
        <v>42886</v>
      </c>
      <c r="F11" s="35">
        <v>55024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6.8831548748338453E-2</v>
      </c>
      <c r="D12" s="14">
        <f t="shared" si="3"/>
        <v>2.9977006185000765E-2</v>
      </c>
      <c r="E12" s="14">
        <f t="shared" si="3"/>
        <v>1.6742867025656083E-2</v>
      </c>
      <c r="F12" s="14">
        <f t="shared" si="3"/>
        <v>3.4305993199153562E-2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7.4923487237038164E-2</v>
      </c>
      <c r="D13" s="14">
        <f t="shared" si="4"/>
        <v>0.25549194826352611</v>
      </c>
      <c r="E13" s="14">
        <f t="shared" si="4"/>
        <v>0.5211237857946811</v>
      </c>
      <c r="F13" s="14">
        <f t="shared" si="4"/>
        <v>0.21246784436610849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43796</v>
      </c>
      <c r="D14" s="27">
        <f t="shared" si="5"/>
        <v>327451</v>
      </c>
      <c r="E14" s="27">
        <f t="shared" si="5"/>
        <v>1334832</v>
      </c>
      <c r="F14" s="27">
        <f t="shared" si="5"/>
        <v>340781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-0.86625174453582365</v>
      </c>
      <c r="D15" s="14">
        <f t="shared" ref="D15:M15" si="6">IF(E14="","",IF(ABS(D14+E14)=ABS(D14)+ABS(E14),IF(D14&lt;0,-1,1)*(D14-E14)/E14,"Turn"))</f>
        <v>-0.75468748127105134</v>
      </c>
      <c r="E15" s="14">
        <f t="shared" si="6"/>
        <v>2.9169789395535548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43796</v>
      </c>
      <c r="D16" s="140">
        <f>IF(D14="","",D14*(1-Operation!$D$17))</f>
        <v>327451</v>
      </c>
      <c r="E16" s="140">
        <f>IF(E14="","",E14*(1-Operation!$D$17))</f>
        <v>1334832</v>
      </c>
      <c r="F16" s="140">
        <f>IF(F14="","",F14*(1-Operation!$D$17))</f>
        <v>340781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7.4923487237038164E-2</v>
      </c>
      <c r="D17" s="126">
        <f t="shared" si="7"/>
        <v>0.25549194826352611</v>
      </c>
      <c r="E17" s="126">
        <f t="shared" si="7"/>
        <v>0.5211237857946811</v>
      </c>
      <c r="F17" s="126">
        <f t="shared" si="7"/>
        <v>0.21246784436610849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5293</v>
      </c>
      <c r="D18" s="141">
        <v>3968</v>
      </c>
      <c r="E18" s="141">
        <v>3450</v>
      </c>
      <c r="F18" s="141">
        <v>5627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-544315</v>
      </c>
      <c r="D19" s="35">
        <v>457813</v>
      </c>
      <c r="E19" s="35">
        <v>1379475</v>
      </c>
      <c r="F19" s="35">
        <v>513409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-0.66812519255513869</v>
      </c>
      <c r="E20" s="14">
        <f t="shared" si="8"/>
        <v>1.6868929060456672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2035684</v>
      </c>
      <c r="D21" s="35">
        <v>1971613</v>
      </c>
      <c r="E21" s="35">
        <v>3670507</v>
      </c>
      <c r="F21" s="35">
        <v>2865345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235020</v>
      </c>
      <c r="D22" s="35">
        <v>285909</v>
      </c>
      <c r="E22" s="35">
        <v>828810</v>
      </c>
      <c r="F22" s="35">
        <v>420078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95576</v>
      </c>
      <c r="D23" s="35">
        <v>19771</v>
      </c>
      <c r="E23" s="35">
        <v>98956</v>
      </c>
      <c r="F23" s="35">
        <v>28056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19522</v>
      </c>
      <c r="D24" s="137">
        <v>19771</v>
      </c>
      <c r="E24" s="137">
        <v>12457</v>
      </c>
      <c r="F24" s="137">
        <v>28056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9661</v>
      </c>
      <c r="D25" s="35">
        <v>108512</v>
      </c>
      <c r="E25" s="35">
        <v>775</v>
      </c>
      <c r="F25" s="35">
        <v>92873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9661</v>
      </c>
      <c r="D26" s="137">
        <v>25878</v>
      </c>
      <c r="E26" s="137">
        <v>775</v>
      </c>
      <c r="F26" s="137">
        <v>12335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105237</v>
      </c>
      <c r="D27" s="27">
        <f t="shared" si="9"/>
        <v>128283</v>
      </c>
      <c r="E27" s="27">
        <f t="shared" si="9"/>
        <v>99731</v>
      </c>
      <c r="F27" s="27">
        <f t="shared" si="9"/>
        <v>120929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4494199</v>
      </c>
      <c r="D28" s="35">
        <v>5264755</v>
      </c>
      <c r="E28" s="35">
        <v>5418042</v>
      </c>
      <c r="F28" s="35">
        <v>4389444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4494199</v>
      </c>
      <c r="D29" s="137">
        <v>5264755</v>
      </c>
      <c r="E29" s="137">
        <v>5418042</v>
      </c>
      <c r="F29" s="137">
        <v>4389444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197348</v>
      </c>
      <c r="D30" s="35">
        <v>238398</v>
      </c>
      <c r="E30" s="35">
        <v>208555</v>
      </c>
      <c r="F30" s="35">
        <v>235491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1666461</v>
      </c>
      <c r="D31" s="35">
        <v>1665937</v>
      </c>
      <c r="E31" s="35">
        <v>1974408</v>
      </c>
      <c r="F31" s="35">
        <v>2200778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-0.20800818858057846</v>
      </c>
      <c r="D32" s="14">
        <f t="shared" si="10"/>
        <v>0.12518141930720894</v>
      </c>
      <c r="E32" s="14">
        <f t="shared" si="10"/>
        <v>-0.12915537867708757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-9759.4840000000004</v>
      </c>
      <c r="D33" s="236">
        <f>IF(E7="","",(D7-E7)*Asset_Model!$D$65)</f>
        <v>-17917.2</v>
      </c>
      <c r="E33" s="236">
        <f>IF(F7="","",(E7-F7)*Asset_Model!$D$65)</f>
        <v>13405.434000000001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-50809.483999999997</v>
      </c>
      <c r="D34" s="140">
        <f>IF(E7="","",D30-E30+D33+IF($C$49="Yes",D51,0))</f>
        <v>11925.8</v>
      </c>
      <c r="E34" s="140">
        <f t="shared" ref="E34:F34" si="11">IF(F7="","",E30-F30+E33+IF($C$49="Yes",E51,0))</f>
        <v>-13530.565999999999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-1.1601398301214723</v>
      </c>
      <c r="D35" s="227">
        <f t="shared" si="19"/>
        <v>3.6420105603586488E-2</v>
      </c>
      <c r="E35" s="227">
        <f t="shared" si="19"/>
        <v>-1.0136531039112037E-2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147631</v>
      </c>
      <c r="D37" s="162">
        <v>630728</v>
      </c>
      <c r="E37" s="162">
        <v>408118</v>
      </c>
      <c r="F37" s="162">
        <v>111349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58246</v>
      </c>
      <c r="D38" s="161">
        <v>22027</v>
      </c>
      <c r="E38" s="161">
        <v>0</v>
      </c>
      <c r="F38" s="161">
        <v>3002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8.0817972588376058E-2</v>
      </c>
      <c r="D39" s="167">
        <f t="shared" si="20"/>
        <v>0.34528085710129486</v>
      </c>
      <c r="E39" s="167">
        <f t="shared" si="20"/>
        <v>0.22341696077939499</v>
      </c>
      <c r="F39" s="167">
        <f t="shared" si="20"/>
        <v>6.0956035180572417E-2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3.1885739657541788E-2</v>
      </c>
      <c r="D40" s="169">
        <f t="shared" si="21"/>
        <v>1.2058290482379443E-2</v>
      </c>
      <c r="E40" s="169">
        <f t="shared" si="21"/>
        <v>0</v>
      </c>
      <c r="F40" s="169">
        <f t="shared" si="21"/>
        <v>1.6433916569711304E-3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2.14966003953096E-3</v>
      </c>
      <c r="D42" s="48">
        <f t="shared" ref="D42:M42" si="22">IF(D29="","",D25/D29)</f>
        <v>2.0611025584286447E-2</v>
      </c>
      <c r="E42" s="48">
        <f t="shared" si="22"/>
        <v>1.4304060396726345E-4</v>
      </c>
      <c r="F42" s="48">
        <f t="shared" si="22"/>
        <v>2.1158260590635171E-2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2.3416186065637057E-2</v>
      </c>
      <c r="D43" s="14">
        <f t="shared" si="23"/>
        <v>2.436637602319576E-2</v>
      </c>
      <c r="E43" s="14">
        <f t="shared" si="23"/>
        <v>1.8407203192592453E-2</v>
      </c>
      <c r="F43" s="14">
        <f t="shared" si="23"/>
        <v>2.7549958491326007E-2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0.4161654171061509</v>
      </c>
      <c r="D44" s="50">
        <f t="shared" si="24"/>
        <v>2.5525673705791103</v>
      </c>
      <c r="E44" s="50">
        <f t="shared" si="24"/>
        <v>13.384323831105675</v>
      </c>
      <c r="F44" s="50">
        <f t="shared" si="24"/>
        <v>2.8180254529517321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0.12085578591652206</v>
      </c>
      <c r="D45" s="14">
        <f t="shared" si="25"/>
        <v>1.2117843585757869E-2</v>
      </c>
      <c r="E45" s="14">
        <f t="shared" si="25"/>
        <v>2.5845949153151856E-3</v>
      </c>
      <c r="F45" s="14">
        <f t="shared" si="25"/>
        <v>1.6512070802069363E-2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8.6617479363458436</v>
      </c>
      <c r="D46" s="51">
        <f t="shared" si="26"/>
        <v>6.8959459128603857</v>
      </c>
      <c r="E46" s="51">
        <f t="shared" si="26"/>
        <v>4.4286470964394731</v>
      </c>
      <c r="F46" s="51">
        <f t="shared" si="26"/>
        <v>6.8209832459686055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4494199</v>
      </c>
      <c r="E3" s="153" t="str">
        <f>IF((C46-I46)=D3,"", "Error!")</f>
        <v/>
      </c>
      <c r="F3" s="6"/>
      <c r="G3" s="6"/>
      <c r="H3" s="258" t="s">
        <v>244</v>
      </c>
      <c r="I3" s="259">
        <v>4494199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2.4602695340999325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3634480.5000000005</v>
      </c>
      <c r="E6" s="14">
        <f>1-D6/D3</f>
        <v>0.191295156267001</v>
      </c>
      <c r="F6" s="6"/>
      <c r="G6" s="6"/>
      <c r="H6" s="3" t="s">
        <v>287</v>
      </c>
      <c r="I6" s="69">
        <f>C26/I26</f>
        <v>8.6617479363458436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1.9896318891153442</v>
      </c>
      <c r="E7" s="49" t="str">
        <f>Dashboard!J4</f>
        <v>HKD</v>
      </c>
      <c r="H7" s="3" t="s">
        <v>288</v>
      </c>
      <c r="I7" s="69">
        <f>C25/I26</f>
        <v>8.2361118202706152</v>
      </c>
      <c r="J7" s="6"/>
      <c r="K7" s="114"/>
    </row>
    <row r="8" spans="1:11" ht="15" customHeight="1">
      <c r="D8" s="6"/>
      <c r="H8" s="3" t="s">
        <v>289</v>
      </c>
      <c r="I8" s="69">
        <f>C24/I26</f>
        <v>7.0907199387286193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324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98</v>
      </c>
      <c r="I15" s="152">
        <f>I26-SUM(I11:I14)</f>
        <v>228818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290</v>
      </c>
      <c r="I24" s="69">
        <f>E24/($I$26-I15)</f>
        <v>268.69735569171235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294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56</v>
      </c>
      <c r="I26" s="64">
        <v>235020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0.8</v>
      </c>
      <c r="E32" s="27">
        <f t="shared" si="3"/>
        <v>0</v>
      </c>
      <c r="G32" s="6"/>
      <c r="H32" s="5" t="s">
        <v>116</v>
      </c>
      <c r="I32" s="152">
        <f>I42-SUM(I28:I31)</f>
        <v>8226</v>
      </c>
      <c r="J32" s="6"/>
    </row>
    <row r="33" spans="2:10" ht="14">
      <c r="B33" s="5" t="s">
        <v>117</v>
      </c>
      <c r="C33" s="64">
        <v>545758</v>
      </c>
      <c r="D33" s="65">
        <v>0.7</v>
      </c>
      <c r="E33" s="214">
        <f t="shared" si="3"/>
        <v>382030.6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197608</v>
      </c>
      <c r="D34" s="65">
        <v>0.85</v>
      </c>
      <c r="E34" s="214">
        <f t="shared" si="3"/>
        <v>167966.8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>
      <c r="B39" s="5" t="s">
        <v>120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>
      <c r="B40" s="5" t="s">
        <v>121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123</v>
      </c>
      <c r="I42" s="64">
        <v>18638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291</v>
      </c>
      <c r="I44" s="69">
        <f>E44/(I46-I15-I32)</f>
        <v>100.30462260743951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295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292</v>
      </c>
      <c r="I46" s="152">
        <f>I26+I42</f>
        <v>253658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434"/>
      <c r="F53" s="5"/>
      <c r="G53" s="5"/>
      <c r="H53" s="3" t="s">
        <v>293</v>
      </c>
      <c r="I53" s="14">
        <f>D53/I3</f>
        <v>3.6967655415347652E-3</v>
      </c>
    </row>
    <row r="54" spans="2:9" ht="14">
      <c r="B54" s="58" t="s">
        <v>129</v>
      </c>
      <c r="C54" s="6"/>
      <c r="D54" s="448">
        <v>0</v>
      </c>
      <c r="E54" s="401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401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2468318</v>
      </c>
      <c r="D58" s="126">
        <f>IF(E58=0,0,E58/C58)</f>
        <v>0.74257820507730365</v>
      </c>
      <c r="E58" s="215">
        <f>E14+E15+(E19*G19)+(E20*G20)+E29+E30+(E31*G31)+(E33*G33)+(E34*G34)+(E35*G35)</f>
        <v>1832919.15</v>
      </c>
      <c r="H58" s="6"/>
    </row>
    <row r="59" spans="2:9" ht="14">
      <c r="B59" s="53" t="s">
        <v>89</v>
      </c>
      <c r="C59" s="207">
        <f>C11+C12+C28</f>
        <v>1666461</v>
      </c>
      <c r="D59" s="208">
        <f>IF(E59=0,0,E59/C59)</f>
        <v>1</v>
      </c>
      <c r="E59" s="209">
        <f>E11+E12+E28</f>
        <v>1666461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813952.04320000112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-7.7270619954391717E-2</v>
      </c>
      <c r="E63" s="445"/>
    </row>
    <row r="64" spans="2:9" ht="15" customHeight="1">
      <c r="B64" s="3" t="s">
        <v>250</v>
      </c>
      <c r="D64" s="442">
        <v>1.4E-2</v>
      </c>
      <c r="E64" s="443"/>
      <c r="F64" s="250" t="s">
        <v>236</v>
      </c>
    </row>
    <row r="65" spans="2:5" ht="15" customHeight="1">
      <c r="B65" s="271" t="s">
        <v>252</v>
      </c>
      <c r="D65" s="442">
        <v>1.4E-2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336</v>
      </c>
      <c r="C4" s="273">
        <v>904</v>
      </c>
      <c r="D4" s="244">
        <f>C4/$C$7</f>
        <v>1.5465072714924309E-3</v>
      </c>
      <c r="E4" s="273">
        <v>0</v>
      </c>
      <c r="F4" s="244">
        <f>E4/E$7</f>
        <v>0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337</v>
      </c>
      <c r="C5" s="273">
        <v>549346</v>
      </c>
      <c r="D5" s="244">
        <f>C5/$C$7</f>
        <v>0.93978714996159396</v>
      </c>
      <c r="E5" s="273">
        <v>384542.19999999995</v>
      </c>
      <c r="F5" s="244">
        <f>E5/E$7</f>
        <v>0.94124278877868006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338</v>
      </c>
      <c r="C6" s="273">
        <v>34293</v>
      </c>
      <c r="D6" s="244">
        <f>C6/$C$7</f>
        <v>5.866634276691364E-2</v>
      </c>
      <c r="E6" s="273">
        <v>24005.1</v>
      </c>
      <c r="F6" s="244">
        <f>E6/E$7</f>
        <v>5.8757211221320035E-2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584543</v>
      </c>
      <c r="D7" s="243"/>
      <c r="E7" s="313">
        <f>SUM(E4:E6)</f>
        <v>408547.29999999993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-0.30108255509004478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500512</v>
      </c>
      <c r="D9" s="246"/>
      <c r="E9" s="221">
        <f>E7*(1-E10)</f>
        <v>349816.56818677147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0.14375503598537662</v>
      </c>
      <c r="D10" s="183"/>
      <c r="E10" s="72">
        <f>C10</f>
        <v>0.14375503598537662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84031</v>
      </c>
      <c r="D11" s="27"/>
      <c r="E11" s="27">
        <f>E7-E9</f>
        <v>58730.731813228456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6.8831548748338439E-2</v>
      </c>
      <c r="D12" s="186"/>
      <c r="E12" s="220">
        <f>E13/E7</f>
        <v>9.8483088739051775E-2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Data!C11</f>
        <v>40235</v>
      </c>
      <c r="D13" s="247"/>
      <c r="E13" s="75">
        <f>C13</f>
        <v>40235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7.4923487237038164E-2</v>
      </c>
      <c r="D14" s="18"/>
      <c r="E14" s="18">
        <f>E16/E7</f>
        <v>4.527194724632487E-2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-0.57768445033271398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43796</v>
      </c>
      <c r="D16" s="296"/>
      <c r="E16" s="295">
        <f>E11-E13</f>
        <v>18495.731813228456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6.5626798158685509E-2</v>
      </c>
      <c r="D18" s="302"/>
      <c r="E18" s="301">
        <f>E19/E9</f>
        <v>3.9654493587379241E-2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32847</v>
      </c>
      <c r="D19" s="298"/>
      <c r="E19" s="299">
        <f>IF(E16="","",IF(E16&lt;=0,E16,E16*(1-E17)))</f>
        <v>13871.798859921342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B32" sqref="B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32847</v>
      </c>
      <c r="D4" s="45">
        <f>Operation!E19</f>
        <v>13871.798859921342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-0.57768445033271409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0.05</v>
      </c>
      <c r="D6" s="220">
        <v>0.05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1642.3500000000001</v>
      </c>
      <c r="D7" s="286">
        <f>D4*D6</f>
        <v>693.58994299606718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31204.65</v>
      </c>
      <c r="D8" s="188">
        <f>D4-D7</f>
        <v>13178.208916925276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1.7082432201433771E-2</v>
      </c>
      <c r="D9" s="283">
        <f>D8/(Common_Shares/Data!$C$4)</f>
        <v>7.2141767448026493E-3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7.2141767448026493E-3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6.6797932822246749E-3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1666461</v>
      </c>
      <c r="D15" s="213">
        <f>C15/(Dashboard!I5/Data!C4)</f>
        <v>0.91227451834369311</v>
      </c>
      <c r="E15" s="84" t="s">
        <v>224</v>
      </c>
      <c r="G15" s="134">
        <f>C15+C16+C17+C18</f>
        <v>3482766.15</v>
      </c>
    </row>
    <row r="16" spans="1:10" ht="15.75" customHeight="1">
      <c r="B16" s="58" t="s">
        <v>230</v>
      </c>
      <c r="C16" s="83">
        <f>Asset_Model!E58</f>
        <v>1832919.15</v>
      </c>
      <c r="D16" s="213">
        <f>C16/(Dashboard!I5/Data!C4)</f>
        <v>1.0033990802840158</v>
      </c>
      <c r="E16" s="84" t="s">
        <v>306</v>
      </c>
      <c r="G16" s="194">
        <f>(G15+MIN(D4,0))*Data!C$4/Dashboard!I5</f>
        <v>1.9065785589911606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-9.0950396365484208E-3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0.91227451834369311</v>
      </c>
      <c r="G18" s="144">
        <f>SUM(D16:D18)</f>
        <v>0.99430404064746736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0.25</v>
      </c>
      <c r="D22" s="277">
        <v>4</v>
      </c>
      <c r="E22" s="202">
        <f ca="1">IF(G9&lt;0,G9,G9*D22/G11)</f>
        <v>2.4739975119350648E-2</v>
      </c>
      <c r="F22" s="342">
        <f ca="1">E22+$G$16</f>
        <v>1.9313185341105112</v>
      </c>
      <c r="G22" s="345">
        <f ca="1">ROUND(F22*Exchange_Rate,2)</f>
        <v>1.93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4.9479950238701297E-2</v>
      </c>
      <c r="F23" s="343">
        <f ca="1">E23+$G$16</f>
        <v>1.9560585092298619</v>
      </c>
      <c r="G23" s="348">
        <f ca="1">ROUND(F23*Exchange_Rate,2)</f>
        <v>1.96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1.9456852040816326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Analysis'!$E$64</f>
        <v>1.9686622948637991</v>
      </c>
      <c r="D27" s="117" t="str">
        <f>Dashboard!J4</f>
        <v>HKD</v>
      </c>
      <c r="E27" s="118">
        <f ca="1">(C27-G16)/C9</f>
        <v>3.6343616143506572</v>
      </c>
      <c r="F27" s="155">
        <f ca="1">C27/(Data!C28*Exchange_Rate*Data!C4/Common_Shares)</f>
        <v>0.80018155229647081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Asset_Model!I3*Exchange_Rate*Data!C4/Common_Shares*1.45</f>
        <v>3.5673908244449022</v>
      </c>
      <c r="D30" s="334" t="str">
        <f>D27</f>
        <v>HKD</v>
      </c>
      <c r="E30" s="118">
        <f>(C30-G16)/C9</f>
        <v>97.223407408831719</v>
      </c>
      <c r="F30" s="155">
        <f>C30/(Asset_Model!I3*Exchange_Rate*Data!C4/Common_Shares)</f>
        <v>1.45</v>
      </c>
      <c r="I30" s="73" t="s">
        <v>339</v>
      </c>
    </row>
    <row r="31" spans="2:9" ht="15.75" customHeight="1">
      <c r="B31" s="352" t="s">
        <v>307</v>
      </c>
      <c r="C31" s="350">
        <f ca="1">MIN(C30,C27)+ABS(C30-C27)*'Qualitative Analysis'!E8</f>
        <v>2.9918485537957054</v>
      </c>
      <c r="D31" s="334" t="str">
        <f>D30</f>
        <v>HKD</v>
      </c>
      <c r="E31" s="118">
        <f ca="1">(C31-G16)/C9</f>
        <v>63.531350922818554</v>
      </c>
      <c r="F31" s="155">
        <f ca="1">C31/(Asset_Model!I3*Exchange_Rate*Data!C4/Common_Shares)</f>
        <v>1.2160653588267296</v>
      </c>
      <c r="I31" s="73"/>
    </row>
    <row r="32" spans="2:9" ht="15.75" customHeight="1">
      <c r="B32" s="333" t="s">
        <v>315</v>
      </c>
      <c r="C32" s="350">
        <f ca="1">MIN(G24,C27)+ABS(G24-C27)*'Qualitative Analysis'!E8</f>
        <v>1.9603905421822192</v>
      </c>
      <c r="D32" s="334" t="str">
        <f>D30</f>
        <v>HKD</v>
      </c>
      <c r="E32" s="118">
        <f ca="1">(C32-G16)/C9</f>
        <v>3.1501359148694323</v>
      </c>
      <c r="F32" s="155">
        <f ca="1">C32/(Asset_Model!I3*Exchange_Rate*Data!C4/Common_Shares)</f>
        <v>0.79681941958420843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2" sqref="E62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2.8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0</v>
      </c>
      <c r="E12" s="31" t="s">
        <v>170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2</v>
      </c>
      <c r="E16" s="31" t="s">
        <v>147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0.75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3</v>
      </c>
      <c r="E43" s="31" t="s">
        <v>148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3</v>
      </c>
      <c r="E47" s="31" t="s">
        <v>148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0.39319727891156464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2</v>
      </c>
      <c r="E53" s="31" t="s">
        <v>147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3.8639455782312924</v>
      </c>
      <c r="E54" s="31" t="s">
        <v>189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340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0.54136054421768709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2.0913605442176868</v>
      </c>
      <c r="E64" s="123">
        <f>AVERAGE(AVERAGE(D12:D16)/4,AVERAGE(D18:D22)/4,AVERAGE(D24:D28)/4,D62)</f>
        <v>0.5228401360544217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2023-06-21T10:35:31Z</dcterms:modified>
  <cp:category/>
  <cp:contentStatus/>
</cp:coreProperties>
</file>