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F235F71C-7F8F-43AA-AC8C-2DD8D12F0B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E46" i="3" l="1"/>
  <c r="D46" i="3" s="1"/>
  <c r="C16" i="4"/>
  <c r="D16" i="4" s="1"/>
  <c r="D62" i="5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2" i="4" l="1"/>
  <c r="I36" i="1" s="1"/>
  <c r="C31" i="4"/>
  <c r="I35" i="1" s="1"/>
  <c r="D18" i="1" s="1"/>
  <c r="E14" i="1"/>
  <c r="E27" i="4"/>
  <c r="F27" i="4"/>
  <c r="D16" i="1" l="1"/>
  <c r="E31" i="4"/>
  <c r="F31" i="4"/>
  <c r="B17" i="1"/>
  <c r="D17" i="1" s="1"/>
  <c r="E46" i="1"/>
  <c r="F46" i="1"/>
  <c r="F32" i="4"/>
  <c r="E32" i="4"/>
  <c r="J17" i="1" l="1"/>
  <c r="H17" i="1"/>
  <c r="F45" i="1"/>
  <c r="E45" i="1"/>
  <c r="E50" i="1" l="1"/>
  <c r="E48" i="1"/>
  <c r="E49" i="1"/>
  <c r="F50" i="1"/>
  <c r="F48" i="1"/>
  <c r="F49" i="1"/>
  <c r="E51" i="1" l="1"/>
  <c r="F51" i="1"/>
</calcChain>
</file>

<file path=xl/sharedStrings.xml><?xml version="1.0" encoding="utf-8"?>
<sst xmlns="http://schemas.openxmlformats.org/spreadsheetml/2006/main" count="420" uniqueCount="350">
  <si>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</si>
  <si>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</si>
  <si>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</si>
  <si>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</si>
  <si>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</si>
  <si>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</si>
  <si>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</si>
  <si>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</si>
  <si>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</si>
  <si>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</si>
  <si>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</si>
  <si>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</si>
  <si>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</si>
  <si>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</si>
  <si>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</si>
  <si>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</si>
  <si>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</si>
  <si>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</si>
  <si>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</si>
  <si>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</si>
  <si>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</si>
  <si>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</si>
  <si>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</si>
  <si>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</si>
  <si>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</si>
  <si>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</si>
  <si>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</si>
  <si>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</si>
  <si>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</si>
  <si>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</si>
  <si>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</si>
  <si>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</si>
  <si>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</si>
  <si>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</si>
  <si>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</si>
  <si>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</si>
  <si>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</si>
  <si>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</si>
  <si>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</si>
  <si>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</si>
  <si>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</si>
  <si>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</si>
  <si>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</si>
  <si>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</si>
  <si>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</si>
  <si>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</si>
  <si>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</si>
  <si>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</si>
  <si>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</si>
  <si>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</si>
  <si>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</si>
  <si>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</si>
  <si>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</si>
  <si>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</si>
  <si>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</si>
  <si>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</si>
  <si>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</si>
  <si>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</si>
  <si>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</si>
  <si>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</si>
  <si>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</si>
  <si>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</si>
  <si>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</si>
  <si>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</si>
  <si>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</si>
  <si>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</si>
  <si>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</si>
  <si>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</si>
  <si>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</si>
  <si>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</si>
  <si>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</si>
  <si>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</si>
  <si>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</si>
  <si>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</si>
  <si>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</si>
  <si>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</si>
  <si>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</si>
  <si>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</si>
  <si>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</si>
  <si>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</si>
  <si>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</si>
  <si>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</si>
  <si>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</si>
  <si>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</si>
  <si>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</si>
  <si>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</si>
  <si>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</si>
  <si>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</si>
  <si>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</si>
  <si>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</si>
  <si>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</si>
  <si>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</si>
  <si>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</si>
  <si>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</si>
  <si>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</si>
  <si>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</si>
  <si>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</si>
  <si>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</si>
  <si>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</si>
  <si>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</si>
  <si>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</si>
  <si>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</si>
  <si>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</si>
  <si>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</si>
  <si>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</si>
  <si>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</si>
  <si>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</si>
  <si>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</si>
  <si>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</si>
  <si>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</si>
  <si>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</si>
  <si>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</si>
  <si>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</si>
  <si>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</si>
  <si>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</si>
  <si>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</si>
  <si>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</si>
  <si>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</si>
  <si>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</si>
  <si>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</si>
  <si>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</si>
  <si>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</si>
  <si>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</si>
  <si>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</si>
  <si>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</si>
  <si>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</si>
  <si>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</si>
  <si>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</si>
  <si>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</si>
  <si>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</si>
  <si>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</si>
  <si>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</si>
  <si>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</si>
  <si>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</si>
  <si>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</si>
  <si>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</si>
  <si>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</si>
  <si>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</si>
  <si>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</si>
  <si>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</si>
  <si>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</si>
  <si>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</si>
  <si>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</si>
  <si>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</si>
  <si>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</si>
  <si>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</si>
  <si>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</si>
  <si>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</si>
  <si>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</si>
  <si>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</si>
  <si>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</si>
  <si>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</si>
  <si>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</si>
  <si>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</si>
  <si>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</si>
  <si>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</si>
  <si>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</si>
  <si>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</si>
  <si>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</si>
  <si>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</si>
  <si>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</si>
  <si>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</si>
  <si>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</si>
  <si>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</si>
  <si>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</si>
  <si>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</si>
  <si>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</si>
  <si>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</si>
  <si>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</si>
  <si>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</si>
  <si>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</si>
  <si>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</si>
  <si>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</si>
  <si>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</si>
  <si>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</si>
  <si>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</si>
  <si>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</si>
  <si>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</si>
  <si>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</si>
  <si>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</si>
  <si>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</si>
  <si>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</si>
  <si>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</si>
  <si>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</si>
  <si>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</si>
  <si>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</si>
  <si>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</si>
  <si>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</si>
  <si>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</si>
  <si>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</si>
  <si>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</si>
  <si>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</si>
  <si>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</si>
  <si>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</si>
  <si>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</si>
  <si>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</si>
  <si>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</si>
  <si>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</si>
  <si>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</si>
  <si>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</si>
  <si>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</si>
  <si>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</si>
  <si>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</si>
  <si>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</si>
  <si>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</si>
  <si>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</si>
  <si>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</si>
  <si>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</si>
  <si>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</si>
  <si>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</si>
  <si>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</si>
  <si>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</si>
  <si>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</si>
  <si>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</si>
  <si>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</si>
  <si>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</si>
  <si>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</si>
  <si>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</si>
  <si>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</si>
  <si>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</si>
  <si>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</si>
  <si>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</si>
  <si>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</si>
  <si>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</si>
  <si>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</si>
  <si>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</si>
  <si>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</si>
  <si>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</si>
  <si>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</si>
  <si>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</si>
  <si>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</si>
  <si>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</si>
  <si>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</si>
  <si>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</si>
  <si>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</si>
  <si>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</si>
  <si>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</si>
  <si>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</si>
  <si>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</si>
  <si>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</si>
  <si>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</si>
  <si>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</si>
  <si>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</si>
  <si>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</si>
  <si>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</si>
  <si>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</si>
  <si>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</si>
  <si>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</si>
  <si>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</si>
  <si>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</si>
  <si>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</si>
  <si>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</si>
  <si>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</si>
  <si>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</si>
  <si>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</si>
  <si>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</si>
  <si>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</si>
  <si>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</si>
  <si>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</si>
  <si>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</si>
  <si>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</si>
  <si>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</si>
  <si>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</si>
  <si>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</si>
  <si>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</si>
  <si>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</si>
  <si>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</si>
  <si>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</si>
  <si>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</si>
  <si>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</si>
  <si>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</si>
  <si>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</si>
  <si>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</si>
  <si>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</si>
  <si>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</si>
  <si>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</si>
  <si>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</si>
  <si>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</si>
  <si>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</si>
  <si>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</si>
  <si>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</si>
  <si>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</si>
  <si>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</si>
  <si>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</si>
  <si>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</si>
  <si>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</si>
  <si>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</si>
  <si>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</si>
  <si>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</si>
  <si>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</si>
  <si>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</si>
  <si>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</si>
  <si>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</si>
  <si>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</si>
  <si>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</si>
  <si>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</si>
  <si>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</si>
  <si>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</si>
  <si>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</si>
  <si>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</si>
  <si>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</si>
  <si>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</si>
  <si>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</si>
  <si>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</si>
  <si>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</si>
  <si>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</si>
  <si>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</si>
  <si>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</si>
  <si>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</si>
  <si>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</si>
  <si>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</si>
  <si>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</si>
  <si>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</si>
  <si>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</si>
  <si>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</si>
  <si>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</si>
  <si>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</si>
  <si>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</si>
  <si>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</si>
  <si>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</si>
  <si>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</si>
  <si>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</si>
  <si>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</si>
  <si>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</si>
  <si>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</si>
  <si>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</si>
  <si>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</si>
  <si>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</si>
  <si>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</si>
  <si>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</si>
  <si>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</si>
  <si>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</si>
  <si>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</si>
  <si>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</si>
  <si>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</si>
  <si>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</si>
  <si>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</si>
  <si>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</si>
  <si>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</si>
  <si>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</si>
  <si>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</si>
  <si>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</si>
  <si>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</si>
  <si>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</si>
  <si>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</si>
  <si>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</si>
  <si>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a) High growth company with unproven product or product you don't trust</t>
  </si>
  <si>
    <t>Kelly's Formula: [W – (1 – W)/R] / K, Where K =</t>
  </si>
  <si>
    <t>% Allocation</t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</si>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</sst>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10" fontId="5" fillId="0" borderId="0" xfId="0" applyNumberFormat="1" applyFont="1"/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22" zoomScaleNormal="100" workbookViewId="0">
      <selection activeCell="I33" sqref="I33:J3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3" t="s">
        <v>316</v>
      </c>
      <c r="D3" s="374"/>
      <c r="E3" s="15"/>
      <c r="G3" s="7" t="s">
        <v>2</v>
      </c>
      <c r="I3" s="385" t="s">
        <v>3</v>
      </c>
      <c r="J3" s="386"/>
    </row>
    <row r="4" spans="1:12" ht="15.75" customHeight="1">
      <c r="B4" s="5" t="s">
        <v>4</v>
      </c>
      <c r="C4" s="375" t="s">
        <v>317</v>
      </c>
      <c r="D4" s="376"/>
      <c r="E4" s="6"/>
      <c r="G4" s="5" t="s">
        <v>5</v>
      </c>
      <c r="I4" s="32">
        <v>9.3800000000000008</v>
      </c>
      <c r="J4" s="33" t="s">
        <v>6</v>
      </c>
      <c r="K4" s="149"/>
    </row>
    <row r="5" spans="1:12" ht="15.75" customHeight="1">
      <c r="B5" s="5" t="s">
        <v>7</v>
      </c>
      <c r="C5" s="377">
        <v>44956</v>
      </c>
      <c r="D5" s="376"/>
      <c r="E5" s="120" t="str">
        <f ca="1">IF(C5+30&gt;=TODAY(),"Patience Premium","")</f>
        <v/>
      </c>
      <c r="G5" s="5" t="s">
        <v>8</v>
      </c>
      <c r="I5" s="387">
        <v>8171879936</v>
      </c>
      <c r="J5" s="388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389">
        <f>I4*I5/1000000</f>
        <v>76652.233799680005</v>
      </c>
      <c r="J6" s="390"/>
      <c r="K6" s="148"/>
    </row>
    <row r="7" spans="1:12" ht="15.75" customHeight="1">
      <c r="B7" s="136" t="s">
        <v>10</v>
      </c>
      <c r="C7" s="142">
        <f>(Data!C39*Exchange_Rate)/I4</f>
        <v>3.9838199731796309E-2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13.364767454536706</v>
      </c>
      <c r="J9" s="48">
        <f>IF(I9="NNI","NNI",1/I9)</f>
        <v>7.4823598944143796E-2</v>
      </c>
    </row>
    <row r="10" spans="1:12" ht="15.75" customHeight="1">
      <c r="B10" s="3" t="s">
        <v>256</v>
      </c>
      <c r="C10" s="279" t="s">
        <v>324</v>
      </c>
      <c r="D10" s="279">
        <v>3.6810000000000002E-2</v>
      </c>
      <c r="E10" s="5"/>
      <c r="G10" s="5" t="s">
        <v>14</v>
      </c>
      <c r="I10" s="135">
        <f>I4/(Data!C28*I12*Data!C4/Common_Shares)</f>
        <v>0.48444007579594617</v>
      </c>
      <c r="J10" s="127">
        <f>IF(Asset_Model!D60/'FCFF Model'!C4&lt;0,"Negative EV",Asset_Model!D60/'FCFF Model'!C4)</f>
        <v>2.7782094698826492</v>
      </c>
    </row>
    <row r="11" spans="1:12" ht="15.75" customHeight="1" thickBot="1">
      <c r="B11" s="288" t="s">
        <v>257</v>
      </c>
      <c r="C11" s="404">
        <f ca="1">C12-D10</f>
        <v>2.3189999999999995E-2</v>
      </c>
      <c r="D11" s="405"/>
      <c r="E11" s="13"/>
      <c r="G11" s="5" t="s">
        <v>15</v>
      </c>
      <c r="H11" s="6"/>
      <c r="I11" s="402" t="s">
        <v>6</v>
      </c>
      <c r="J11" s="403"/>
    </row>
    <row r="12" spans="1:12" ht="15.75" customHeight="1" thickTop="1">
      <c r="B12" s="289" t="s">
        <v>143</v>
      </c>
      <c r="C12" s="400">
        <f ca="1">IF(C10="CN",8%,6%)*IF($C$5+30&gt;=TODAY(),1.2,1)</f>
        <v>0.06</v>
      </c>
      <c r="D12" s="401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332</v>
      </c>
      <c r="D14" s="239"/>
      <c r="E14" s="190">
        <f ca="1">'FCFF Model'!C27</f>
        <v>10.735099766534228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325</v>
      </c>
      <c r="J15" s="88" t="s">
        <v>20</v>
      </c>
    </row>
    <row r="16" spans="1:12" ht="15.75" customHeight="1">
      <c r="B16" s="128">
        <f>I4</f>
        <v>9.3800000000000008</v>
      </c>
      <c r="C16" s="421">
        <v>0.25</v>
      </c>
      <c r="D16" s="156">
        <f ca="1">I35/B16-(1+J25)</f>
        <v>4.5536194837700883E-3</v>
      </c>
      <c r="E16" s="394" t="s">
        <v>23</v>
      </c>
      <c r="F16" s="391">
        <f>('FCFF Model'!G16)*Exchange_Rate</f>
        <v>5.902449981989065</v>
      </c>
      <c r="G16" s="394" t="s">
        <v>24</v>
      </c>
      <c r="H16" s="355">
        <f>B16-$F$16</f>
        <v>3.4775500180109358</v>
      </c>
      <c r="I16" s="412">
        <v>0.42</v>
      </c>
      <c r="J16" s="158">
        <f>I16/B16</f>
        <v>4.4776119402985072E-2</v>
      </c>
    </row>
    <row r="17" spans="1:10" ht="15.75" customHeight="1">
      <c r="B17" s="269">
        <f ca="1">(I35+I36)/2</f>
        <v>10.581367742939435</v>
      </c>
      <c r="C17" s="422"/>
      <c r="D17" s="268">
        <f ca="1">I35/B17-(1+J25)</f>
        <v>-0.13220675953758554</v>
      </c>
      <c r="E17" s="395"/>
      <c r="F17" s="392"/>
      <c r="G17" s="395"/>
      <c r="H17" s="356">
        <f ca="1">B17-$F$16</f>
        <v>4.6789177609503696</v>
      </c>
      <c r="I17" s="413"/>
      <c r="J17" s="159">
        <f ca="1">I16/B17</f>
        <v>3.9692411246197434E-2</v>
      </c>
    </row>
    <row r="18" spans="1:10" ht="15.75" customHeight="1">
      <c r="B18" s="323">
        <f>C35</f>
        <v>9.0299999999999994</v>
      </c>
      <c r="C18" s="423"/>
      <c r="D18" s="157">
        <f ca="1">I35/B18-(1+J25)</f>
        <v>5.1241744269962863E-2</v>
      </c>
      <c r="E18" s="396"/>
      <c r="F18" s="393"/>
      <c r="G18" s="396"/>
      <c r="H18" s="357">
        <f>B18-$F$16</f>
        <v>3.1275500180109344</v>
      </c>
      <c r="I18" s="414"/>
      <c r="J18" s="160">
        <f>I16/B18</f>
        <v>4.6511627906976744E-2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0" t="s">
        <v>319</v>
      </c>
      <c r="D21" s="381"/>
      <c r="E21" s="381"/>
      <c r="F21" s="381"/>
      <c r="G21" s="381"/>
      <c r="H21" s="381"/>
      <c r="I21" s="381"/>
      <c r="J21" s="382"/>
    </row>
    <row r="22" spans="1:10" ht="52.5" customHeight="1">
      <c r="A22" s="6"/>
      <c r="B22" s="24" t="s">
        <v>27</v>
      </c>
      <c r="C22" s="398" t="s">
        <v>320</v>
      </c>
      <c r="D22" s="399"/>
      <c r="E22" s="399"/>
      <c r="F22" s="399"/>
      <c r="G22" s="398" t="s">
        <v>322</v>
      </c>
      <c r="H22" s="398"/>
      <c r="I22" s="399"/>
      <c r="J22" s="399"/>
    </row>
    <row r="23" spans="1:10" ht="52.5" customHeight="1">
      <c r="A23" s="6"/>
      <c r="B23" s="25" t="s">
        <v>28</v>
      </c>
      <c r="C23" s="383" t="s">
        <v>321</v>
      </c>
      <c r="D23" s="384"/>
      <c r="E23" s="384"/>
      <c r="F23" s="384"/>
      <c r="G23" s="383" t="s">
        <v>323</v>
      </c>
      <c r="H23" s="383"/>
      <c r="I23" s="384"/>
      <c r="J23" s="38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59" t="s">
        <v>349</v>
      </c>
      <c r="I25" s="30"/>
      <c r="J25" s="360">
        <v>0.2</v>
      </c>
    </row>
    <row r="26" spans="1:10" ht="15.75" customHeight="1">
      <c r="B26" s="23" t="s">
        <v>31</v>
      </c>
      <c r="C26" s="378">
        <v>44970</v>
      </c>
      <c r="D26" s="379"/>
      <c r="E26" s="418" t="str">
        <f>IF(C26="","","Action_Planning")</f>
        <v>Action_Planning</v>
      </c>
      <c r="F26" s="419"/>
      <c r="G26" s="419"/>
      <c r="H26" s="420"/>
      <c r="I26" s="397" t="s">
        <v>32</v>
      </c>
      <c r="J26" s="397"/>
    </row>
    <row r="27" spans="1:10" ht="15.75" customHeight="1">
      <c r="B27" s="23" t="s">
        <v>33</v>
      </c>
      <c r="C27" s="411">
        <f>C31/D25</f>
        <v>0.14975757575757576</v>
      </c>
      <c r="D27" s="410"/>
      <c r="E27" s="409">
        <f>E31/D25</f>
        <v>0.16418181818181815</v>
      </c>
      <c r="F27" s="410"/>
      <c r="G27" s="416">
        <f>G31/D25</f>
        <v>0</v>
      </c>
      <c r="H27" s="417"/>
      <c r="I27" s="415">
        <f>C27+E27+G27</f>
        <v>0.31393939393939391</v>
      </c>
      <c r="J27" s="415"/>
    </row>
    <row r="28" spans="1:10" ht="15.75" customHeight="1">
      <c r="B28" s="23" t="s">
        <v>34</v>
      </c>
      <c r="C28" s="437">
        <v>10000</v>
      </c>
      <c r="D28" s="399"/>
      <c r="E28" s="437">
        <v>12000</v>
      </c>
      <c r="F28" s="399"/>
      <c r="G28" s="387"/>
      <c r="H28" s="388"/>
      <c r="I28" s="427">
        <f>C28+E28+G28</f>
        <v>22000</v>
      </c>
      <c r="J28" s="427"/>
    </row>
    <row r="29" spans="1:10" ht="15.75" customHeight="1">
      <c r="B29" s="23" t="s">
        <v>35</v>
      </c>
      <c r="C29" s="438">
        <v>9.8840000000000003</v>
      </c>
      <c r="D29" s="399"/>
      <c r="E29" s="438">
        <v>9.0299999999999994</v>
      </c>
      <c r="F29" s="399"/>
      <c r="G29" s="407">
        <v>8.6</v>
      </c>
      <c r="H29" s="408"/>
      <c r="I29" s="406"/>
      <c r="J29" s="406"/>
    </row>
    <row r="30" spans="1:10" ht="15.75" customHeight="1">
      <c r="B30" s="23" t="s">
        <v>36</v>
      </c>
      <c r="C30" s="425">
        <f>C29*$I$5/1000000</f>
        <v>80770.861287423992</v>
      </c>
      <c r="D30" s="433"/>
      <c r="E30" s="425">
        <f>E29*$I$5/1000000</f>
        <v>73792.075822080005</v>
      </c>
      <c r="F30" s="433"/>
      <c r="G30" s="369">
        <f>G29*$I$5/1000000</f>
        <v>70278.167449599991</v>
      </c>
      <c r="H30" s="370"/>
      <c r="I30" s="424"/>
      <c r="J30" s="424"/>
    </row>
    <row r="31" spans="1:10" ht="15.75" customHeight="1">
      <c r="B31" s="2" t="s">
        <v>37</v>
      </c>
      <c r="C31" s="434">
        <f>C28*C29</f>
        <v>98840</v>
      </c>
      <c r="D31" s="435"/>
      <c r="E31" s="426">
        <f>E28*E29</f>
        <v>108359.99999999999</v>
      </c>
      <c r="F31" s="436"/>
      <c r="G31" s="371">
        <f>G28*G29</f>
        <v>0</v>
      </c>
      <c r="H31" s="372"/>
      <c r="I31" s="426">
        <f>C31+E31+G31</f>
        <v>207200</v>
      </c>
      <c r="J31" s="426"/>
    </row>
    <row r="32" spans="1:10" ht="15.75" customHeight="1">
      <c r="B32" s="1" t="s">
        <v>38</v>
      </c>
      <c r="C32" s="429"/>
      <c r="D32" s="430"/>
      <c r="E32" s="428">
        <f>IF(C31=0,"-",(C31+E31)/(C28+E28))</f>
        <v>9.418181818181818</v>
      </c>
      <c r="F32" s="410"/>
      <c r="G32" s="115"/>
      <c r="H32" s="115"/>
      <c r="I32" s="428">
        <f>IF(I31=0,"",I31/I28)</f>
        <v>9.418181818181818</v>
      </c>
      <c r="J32" s="428"/>
    </row>
    <row r="33" spans="2:11" ht="15.75" customHeight="1">
      <c r="B33" s="1" t="s">
        <v>39</v>
      </c>
      <c r="C33" s="431"/>
      <c r="D33" s="432"/>
      <c r="E33" s="425">
        <f>IF(E32="-","-",E32*$I$5/1000000)</f>
        <v>76964.251033599998</v>
      </c>
      <c r="F33" s="433"/>
      <c r="G33" s="116"/>
      <c r="H33" s="116"/>
      <c r="I33" s="425">
        <f>IF(I32="","",I32*$I$5/1000000)</f>
        <v>76964.251033599998</v>
      </c>
      <c r="J33" s="425"/>
    </row>
    <row r="34" spans="2:11" ht="15.75" customHeight="1"/>
    <row r="35" spans="2:11" ht="15.75" customHeight="1">
      <c r="B35" s="143" t="s">
        <v>288</v>
      </c>
      <c r="C35" s="365">
        <f>E29</f>
        <v>9.0299999999999994</v>
      </c>
      <c r="D35" s="366"/>
      <c r="G35" s="362" t="s">
        <v>336</v>
      </c>
      <c r="H35" s="362"/>
      <c r="I35" s="363">
        <f ca="1">'FCFF Model'!C31</f>
        <v>11.298712950757764</v>
      </c>
      <c r="J35" s="364"/>
    </row>
    <row r="36" spans="2:11" ht="15.75" customHeight="1">
      <c r="B36" s="143" t="s">
        <v>337</v>
      </c>
      <c r="C36" s="365">
        <f>E32</f>
        <v>9.418181818181818</v>
      </c>
      <c r="D36" s="366"/>
      <c r="G36" s="367" t="s">
        <v>334</v>
      </c>
      <c r="H36" s="368"/>
      <c r="I36" s="363">
        <f ca="1">'FCFF Model'!C32</f>
        <v>9.8640225351211033</v>
      </c>
      <c r="J36" s="364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301</v>
      </c>
      <c r="F39" s="208">
        <f>'Qualitative Analysis'!E8</f>
        <v>0.58000000000000007</v>
      </c>
      <c r="G39" s="331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29">
        <f>'Qualitative Analysis'!E64</f>
        <v>0.48680272108843536</v>
      </c>
      <c r="G41" s="331" t="s">
        <v>299</v>
      </c>
      <c r="H41" s="114"/>
      <c r="I41" s="114"/>
      <c r="J41" s="114"/>
    </row>
    <row r="42" spans="2:11" ht="15.75" customHeight="1">
      <c r="B42" s="3" t="s">
        <v>345</v>
      </c>
      <c r="F42" s="332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339</v>
      </c>
      <c r="F44" s="258" t="s">
        <v>340</v>
      </c>
    </row>
    <row r="45" spans="2:11" ht="15.75" customHeight="1">
      <c r="B45" s="3" t="s">
        <v>303</v>
      </c>
      <c r="E45" s="329">
        <f ca="1">I35/C29-1</f>
        <v>0.14313162188969697</v>
      </c>
      <c r="F45" s="332">
        <f ca="1">I35/C36-1</f>
        <v>0.19967029399937664</v>
      </c>
      <c r="J45" s="361"/>
    </row>
    <row r="46" spans="2:11" ht="15.75" customHeight="1">
      <c r="B46" s="3" t="s">
        <v>304</v>
      </c>
      <c r="E46" s="329">
        <f ca="1">'FCFF Model'!C32/C29-1</f>
        <v>-2.0211923187876124E-3</v>
      </c>
      <c r="F46" s="332">
        <f ca="1">'FCFF Model'!C32/C36-1</f>
        <v>4.7338300061120941E-2</v>
      </c>
    </row>
    <row r="47" spans="2:11" ht="15.75" customHeight="1"/>
    <row r="48" spans="2:11" ht="15.75" customHeight="1">
      <c r="B48" s="3" t="s">
        <v>306</v>
      </c>
      <c r="E48" s="353">
        <f ca="1">IF(E45&lt;=0,0,AVERAGE(F39:F41,1-F42,E45/J25))</f>
        <v>0.61649216610738411</v>
      </c>
      <c r="F48" s="329">
        <f ca="1">IF(F45&lt;=0,0,AVERAGE(F39:F41,1-F42,F45/J25))</f>
        <v>0.67303083821706378</v>
      </c>
      <c r="G48" s="73"/>
    </row>
    <row r="49" spans="2:9" ht="15.75" customHeight="1">
      <c r="B49" s="3" t="s">
        <v>305</v>
      </c>
      <c r="D49" s="326"/>
      <c r="E49" s="328">
        <f ca="1">IF(E46&gt;=0,100,E45/ABS(E46))</f>
        <v>70.815439262876637</v>
      </c>
      <c r="F49" s="328">
        <f ca="1">IF(F46&gt;=0,100,F45/ABS(F46))</f>
        <v>100</v>
      </c>
      <c r="G49" s="73"/>
    </row>
    <row r="50" spans="2:9" ht="15.75" customHeight="1">
      <c r="B50" s="3" t="s">
        <v>347</v>
      </c>
      <c r="E50" s="358">
        <f ca="1">MAX(J25*2/E45,1)</f>
        <v>2.7946305276150385</v>
      </c>
      <c r="F50" s="358">
        <f ca="1">MAX(J25*2/F45,1)</f>
        <v>2.0033025042836305</v>
      </c>
      <c r="G50" s="330"/>
      <c r="H50" s="84"/>
      <c r="I50" s="84"/>
    </row>
    <row r="51" spans="2:9" ht="15.75" customHeight="1">
      <c r="B51" s="3" t="s">
        <v>348</v>
      </c>
      <c r="E51" s="327">
        <f ca="1">MIN(MAX(E48-ABS((1-E48)/E49),0)/E50,H51)</f>
        <v>0.21866095132295929</v>
      </c>
      <c r="F51" s="327">
        <f ca="1">MIN(MAX(F48-ABS((1-F48)/F49),0)/F50,H51)</f>
        <v>0.33432851262707181</v>
      </c>
      <c r="G51" s="330" t="s">
        <v>308</v>
      </c>
      <c r="H51" s="77">
        <v>0.4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346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5:H35"/>
    <mergeCell ref="I35:J35"/>
    <mergeCell ref="C36:D36"/>
    <mergeCell ref="C35:D35"/>
    <mergeCell ref="I36:J36"/>
    <mergeCell ref="G36:H36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5:D36">
    <cfRule type="containsBlanks" priority="3">
      <formula>LEN(TRIM(C35))=0</formula>
    </cfRule>
  </conditionalFormatting>
  <conditionalFormatting sqref="C26:E26 I26 C28:G29 I28:I29">
    <cfRule type="containsBlanks" priority="27">
      <formula>LEN(TRIM(C26))=0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49:F49">
    <cfRule type="cellIs" dxfId="14" priority="2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1">
      <formula>LEN(TRIM(E26))=0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5:J36">
    <cfRule type="containsBlanks" priority="5">
      <formula>LEN(TRIM(I35))=0</formula>
    </cfRule>
  </conditionalFormatting>
  <conditionalFormatting sqref="K38">
    <cfRule type="containsBlanks" priority="12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1" zoomScale="80" zoomScaleNormal="80" workbookViewId="0">
      <selection activeCell="D28" sqref="D28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12.330028168901379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318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0.6</v>
      </c>
      <c r="E18" s="27">
        <f t="shared" si="0"/>
        <v>7828.1297999999997</v>
      </c>
      <c r="G18" s="6"/>
    </row>
    <row r="19" spans="2:10" ht="14">
      <c r="B19" s="3" t="s">
        <v>101</v>
      </c>
      <c r="C19" s="64">
        <v>8609555.8550000004</v>
      </c>
      <c r="D19" s="65">
        <v>0.65</v>
      </c>
      <c r="E19" s="27">
        <f t="shared" si="0"/>
        <v>5596211.3057500003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0.45</v>
      </c>
      <c r="E20" s="27">
        <f t="shared" si="0"/>
        <v>3387163.2867000001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0.84121951076510693</v>
      </c>
      <c r="E26" s="27">
        <f>SUM(E11:E22)</f>
        <v>56813503.192109995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0.65</v>
      </c>
      <c r="E34" s="214">
        <f t="shared" si="3"/>
        <v>43288444.249049999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0.57229670105271435</v>
      </c>
      <c r="E42" s="27">
        <f>SUM(E28:E40)</f>
        <v>64013576.286649995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0.67354074047347734</v>
      </c>
      <c r="E46" s="27">
        <f>E26+E42</f>
        <v>120827079.47875999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9">
        <f>D53+D54+D55</f>
        <v>6739518.3509999998</v>
      </c>
      <c r="E52" s="440"/>
      <c r="F52" s="53"/>
      <c r="G52" s="53"/>
    </row>
    <row r="53" spans="2:9" ht="14.5" thickTop="1">
      <c r="B53" s="58" t="s">
        <v>222</v>
      </c>
      <c r="C53" s="6"/>
      <c r="D53" s="442">
        <f>SUM(I11:I13)+SUM(I28:I30)</f>
        <v>6739518.3509999998</v>
      </c>
      <c r="E53" s="435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9">
        <v>0</v>
      </c>
      <c r="E54" s="399"/>
      <c r="F54" s="6" t="s">
        <v>130</v>
      </c>
      <c r="G54" s="6"/>
    </row>
    <row r="55" spans="2:9" ht="12.75" customHeight="1">
      <c r="B55" s="58" t="s">
        <v>128</v>
      </c>
      <c r="C55" s="6"/>
      <c r="D55" s="449">
        <v>0</v>
      </c>
      <c r="E55" s="399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1"/>
      <c r="E57" s="441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7">
        <f>((Dashboard!I6*Data!C4)+D52+E50-C58-C59)</f>
        <v>15686226.436679997</v>
      </c>
      <c r="E60" s="448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5">
        <f>((C26-C11-C12-C14-C15-C16*G16-C19*G19-C20*G20)-I26)/Data!C7</f>
        <v>0.5934554144758829</v>
      </c>
      <c r="E63" s="446"/>
    </row>
    <row r="64" spans="2:9" ht="15" customHeight="1">
      <c r="B64" s="3" t="s">
        <v>250</v>
      </c>
      <c r="D64" s="443">
        <v>8.5599999999999996E-2</v>
      </c>
      <c r="E64" s="444"/>
      <c r="F64" s="250" t="s">
        <v>236</v>
      </c>
    </row>
    <row r="65" spans="2:5" ht="15" customHeight="1">
      <c r="B65" s="271" t="s">
        <v>252</v>
      </c>
      <c r="D65" s="443">
        <v>0.15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326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327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328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329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330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6" zoomScaleNormal="100" zoomScalePageLayoutView="80" workbookViewId="0">
      <selection activeCell="I31" sqref="I3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37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36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2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2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3" t="s">
        <v>220</v>
      </c>
      <c r="F20" s="453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2">
        <f ca="1">E22+$G$16</f>
        <v>7.8888521605441149</v>
      </c>
      <c r="G22" s="345">
        <f ca="1">ROUND(F22*Exchange_Rate,2)</f>
        <v>7.89</v>
      </c>
      <c r="I22" s="73"/>
    </row>
    <row r="23" spans="2:9" ht="15.75" customHeight="1" thickBot="1">
      <c r="B23" s="339" t="s">
        <v>280</v>
      </c>
      <c r="C23" s="340">
        <f>1/D23</f>
        <v>0.1</v>
      </c>
      <c r="D23" s="290">
        <v>10</v>
      </c>
      <c r="E23" s="341">
        <f ca="1">IF(G9&lt;0,G9,G9*D23/G11)</f>
        <v>3.3106702975917495</v>
      </c>
      <c r="F23" s="343">
        <f ca="1">E23+$G$16</f>
        <v>9.2131202795808136</v>
      </c>
      <c r="G23" s="348">
        <f ca="1">ROUND(F23*Exchange_Rate,2)</f>
        <v>9.2100000000000009</v>
      </c>
      <c r="I23" s="73" t="s">
        <v>331</v>
      </c>
    </row>
    <row r="24" spans="2:9" ht="15.75" customHeight="1" thickTop="1">
      <c r="C24" s="6"/>
      <c r="D24" s="6"/>
      <c r="E24" s="6"/>
      <c r="F24" s="346" t="s">
        <v>333</v>
      </c>
      <c r="G24" s="347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335</v>
      </c>
      <c r="C26" s="450" t="s">
        <v>145</v>
      </c>
      <c r="D26" s="451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332</v>
      </c>
      <c r="C27" s="238">
        <f ca="1">MIN(G24,Asset_Model!D7)+ABS(G24-Asset_Model!D7)*'Qualitative Analysis'!$E$8</f>
        <v>10.735099766534228</v>
      </c>
      <c r="D27" s="117" t="str">
        <f>Dashboard!J4</f>
        <v>HKD</v>
      </c>
      <c r="E27" s="118">
        <f ca="1">(C27-G16)/C9</f>
        <v>9.5814436115910357</v>
      </c>
      <c r="F27" s="155">
        <f ca="1">C27/(Data!C28*Exchange_Rate*Data!C4/Common_Shares)</f>
        <v>0.5544256444111817</v>
      </c>
      <c r="G27" s="86"/>
      <c r="H27" s="6"/>
      <c r="I27" s="73"/>
    </row>
    <row r="28" spans="2:9" ht="15.75" customHeight="1"/>
    <row r="29" spans="2:9" ht="15.75" customHeight="1">
      <c r="B29" s="351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341</v>
      </c>
      <c r="C30" s="335">
        <f>Asset_Model!I3*Exchange_Rate*Data!C4/Common_Shares*0.61</f>
        <v>11.892885374148257</v>
      </c>
      <c r="D30" s="334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338</v>
      </c>
    </row>
    <row r="31" spans="2:9" ht="15.75" customHeight="1">
      <c r="B31" s="352" t="s">
        <v>311</v>
      </c>
      <c r="C31" s="350">
        <f ca="1">MIN(C30,C27)+ABS(C30-C27)*'Qualitative Analysis'!E64</f>
        <v>11.298712950757764</v>
      </c>
      <c r="D31" s="334" t="str">
        <f>D30</f>
        <v>HKD</v>
      </c>
      <c r="E31" s="118">
        <f ca="1">(C31-G16)/C9</f>
        <v>10.698890185240348</v>
      </c>
      <c r="F31" s="155">
        <f ca="1">C31/(Asset_Model!I3*Exchange_Rate*Data!C4/Common_Shares)</f>
        <v>0.57952420149814499</v>
      </c>
      <c r="I31" s="73"/>
    </row>
    <row r="32" spans="2:9" ht="15.75" customHeight="1">
      <c r="B32" s="333" t="s">
        <v>334</v>
      </c>
      <c r="C32" s="350">
        <f ca="1">IF(Asset_Model!D7&gt;C27,Asset_Model!D7,C27)/(1+Dashboard!C16)</f>
        <v>9.8640225351211033</v>
      </c>
      <c r="D32" s="334" t="str">
        <f>D30</f>
        <v>HKD</v>
      </c>
      <c r="E32" s="118">
        <f ca="1">(C32-G16)/C9</f>
        <v>7.8544040481579875</v>
      </c>
      <c r="F32" s="155">
        <f ca="1">C32/(Asset_Model!I3*Exchange_Rate*Data!C4/Common_Shares)</f>
        <v>0.50593725215776753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342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343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2023-07-06T07:14:46Z</dcterms:modified>
  <cp:category/>
  <cp:contentStatus/>
</cp:coreProperties>
</file>