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3A8CE655-736B-4C27-B1CB-305A154B79D3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iterate="1" iterateDelta="9.9999999999994451E-4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0" i="7" l="1"/>
  <c r="E50" i="2"/>
  <c r="F50" i="2"/>
  <c r="G50" i="2"/>
  <c r="H50" i="2"/>
  <c r="I50" i="2"/>
  <c r="J50" i="2"/>
  <c r="K50" i="2"/>
  <c r="L50" i="2"/>
  <c r="M50" i="2"/>
  <c r="D50" i="2"/>
  <c r="C50" i="2"/>
  <c r="E48" i="2"/>
  <c r="F48" i="2"/>
  <c r="G48" i="2"/>
  <c r="H48" i="2"/>
  <c r="I48" i="2"/>
  <c r="J48" i="2"/>
  <c r="K48" i="2"/>
  <c r="L48" i="2"/>
  <c r="M48" i="2"/>
  <c r="D48" i="2"/>
  <c r="C48" i="2"/>
  <c r="E41" i="2"/>
  <c r="F41" i="2"/>
  <c r="G41" i="2"/>
  <c r="H41" i="2"/>
  <c r="I41" i="2"/>
  <c r="J41" i="2"/>
  <c r="K41" i="2"/>
  <c r="L41" i="2"/>
  <c r="M41" i="2"/>
  <c r="D41" i="2"/>
  <c r="C41" i="2"/>
  <c r="H39" i="2"/>
  <c r="L39" i="2"/>
  <c r="E42" i="2"/>
  <c r="F42" i="2"/>
  <c r="G42" i="2"/>
  <c r="H42" i="2"/>
  <c r="I42" i="2"/>
  <c r="J42" i="2"/>
  <c r="K42" i="2"/>
  <c r="L42" i="2"/>
  <c r="M42" i="2"/>
  <c r="D42" i="2"/>
  <c r="C42" i="2"/>
  <c r="I40" i="2"/>
  <c r="E9" i="2"/>
  <c r="E7" i="2" s="1"/>
  <c r="E20" i="2" s="1"/>
  <c r="F9" i="2"/>
  <c r="F7" i="2" s="1"/>
  <c r="F18" i="2" s="1"/>
  <c r="G9" i="2"/>
  <c r="G7" i="2" s="1"/>
  <c r="G18" i="2" s="1"/>
  <c r="H9" i="2"/>
  <c r="H7" i="2" s="1"/>
  <c r="H18" i="2" s="1"/>
  <c r="I9" i="2"/>
  <c r="I7" i="2" s="1"/>
  <c r="I20" i="2" s="1"/>
  <c r="J9" i="2"/>
  <c r="J7" i="2" s="1"/>
  <c r="J20" i="2" s="1"/>
  <c r="K9" i="2"/>
  <c r="K7" i="2" s="1"/>
  <c r="K18" i="2" s="1"/>
  <c r="L9" i="2"/>
  <c r="L7" i="2" s="1"/>
  <c r="L18" i="2" s="1"/>
  <c r="M9" i="2"/>
  <c r="M7" i="2" s="1"/>
  <c r="M20" i="2" s="1"/>
  <c r="D9" i="2"/>
  <c r="D40" i="2" s="1"/>
  <c r="D13" i="2"/>
  <c r="C13" i="2"/>
  <c r="C9" i="2"/>
  <c r="C40" i="2" s="1"/>
  <c r="E40" i="2" l="1"/>
  <c r="K39" i="2"/>
  <c r="G39" i="2"/>
  <c r="J39" i="2"/>
  <c r="F39" i="2"/>
  <c r="M40" i="2"/>
  <c r="M39" i="2"/>
  <c r="I39" i="2"/>
  <c r="E39" i="2"/>
  <c r="L40" i="2"/>
  <c r="H40" i="2"/>
  <c r="K40" i="2"/>
  <c r="G40" i="2"/>
  <c r="J40" i="2"/>
  <c r="F40" i="2"/>
  <c r="L20" i="2"/>
  <c r="H20" i="2"/>
  <c r="K20" i="2"/>
  <c r="G20" i="2"/>
  <c r="F20" i="2"/>
  <c r="C7" i="2"/>
  <c r="M18" i="2"/>
  <c r="I18" i="2"/>
  <c r="E18" i="2"/>
  <c r="J18" i="2"/>
  <c r="D7" i="2"/>
  <c r="B10" i="4"/>
  <c r="F4" i="4"/>
  <c r="E4" i="4"/>
  <c r="H19" i="7"/>
  <c r="I19" i="7"/>
  <c r="C41" i="3"/>
  <c r="C31" i="3"/>
  <c r="E25" i="3"/>
  <c r="E23" i="3"/>
  <c r="E20" i="3"/>
  <c r="E18" i="3"/>
  <c r="I29" i="3"/>
  <c r="I11" i="3"/>
  <c r="I28" i="3" s="1"/>
  <c r="C26" i="3"/>
  <c r="E26" i="3" s="1"/>
  <c r="C30" i="3"/>
  <c r="C28" i="3"/>
  <c r="E13" i="3"/>
  <c r="C15" i="3"/>
  <c r="C29" i="3" s="1"/>
  <c r="D20" i="2" l="1"/>
  <c r="D39" i="2"/>
  <c r="C20" i="2"/>
  <c r="C39" i="2"/>
  <c r="G20" i="4"/>
  <c r="C18" i="2"/>
  <c r="D18" i="2"/>
  <c r="I7" i="3"/>
  <c r="I17" i="3"/>
  <c r="C32" i="3"/>
  <c r="C33" i="3"/>
  <c r="I30" i="3" l="1"/>
  <c r="J30" i="3" s="1"/>
  <c r="I8" i="3"/>
  <c r="D3" i="3"/>
  <c r="F10" i="7"/>
  <c r="L18" i="8"/>
  <c r="K18" i="8" s="1"/>
  <c r="J18" i="8" s="1"/>
  <c r="I18" i="8" s="1"/>
  <c r="H18" i="8" s="1"/>
  <c r="G18" i="8" s="1"/>
  <c r="F18" i="8" s="1"/>
  <c r="E18" i="8" s="1"/>
  <c r="D18" i="8" s="1"/>
  <c r="C18" i="8" s="1"/>
  <c r="E3" i="3" l="1"/>
  <c r="I6" i="3"/>
  <c r="E46" i="2"/>
  <c r="F46" i="2"/>
  <c r="G46" i="2"/>
  <c r="H46" i="2"/>
  <c r="I46" i="2"/>
  <c r="J46" i="2"/>
  <c r="K46" i="2"/>
  <c r="L46" i="2"/>
  <c r="M46" i="2"/>
  <c r="D46" i="2"/>
  <c r="C46" i="2"/>
  <c r="E45" i="2"/>
  <c r="F45" i="2"/>
  <c r="G45" i="2"/>
  <c r="H45" i="2"/>
  <c r="I45" i="2"/>
  <c r="J45" i="2"/>
  <c r="K45" i="2"/>
  <c r="L45" i="2"/>
  <c r="M45" i="2"/>
  <c r="D45" i="2"/>
  <c r="C45" i="2"/>
  <c r="E38" i="2"/>
  <c r="F38" i="2"/>
  <c r="G38" i="2"/>
  <c r="H38" i="2"/>
  <c r="I38" i="2"/>
  <c r="J38" i="2"/>
  <c r="K38" i="2"/>
  <c r="L38" i="2"/>
  <c r="M38" i="2"/>
  <c r="D38" i="2"/>
  <c r="C38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D10" i="7"/>
  <c r="E10" i="7"/>
  <c r="C8" i="7"/>
  <c r="F8" i="7"/>
  <c r="E8" i="7"/>
  <c r="D8" i="7"/>
  <c r="C14" i="7"/>
  <c r="D14" i="7"/>
  <c r="E14" i="7"/>
  <c r="F14" i="7"/>
  <c r="G14" i="7" s="1"/>
  <c r="C37" i="1"/>
  <c r="B18" i="1" s="1"/>
  <c r="J20" i="1"/>
  <c r="F42" i="1"/>
  <c r="F5" i="4"/>
  <c r="B5" i="4"/>
  <c r="J10" i="1"/>
  <c r="E5" i="1"/>
  <c r="G8" i="7" l="1"/>
  <c r="G13" i="7" s="1"/>
  <c r="C4" i="4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J27" i="1"/>
  <c r="G10" i="7" l="1"/>
  <c r="D4" i="4"/>
  <c r="D15" i="7"/>
  <c r="D16" i="7"/>
  <c r="E16" i="7"/>
  <c r="G9" i="7"/>
  <c r="B16" i="1" l="1"/>
  <c r="E11" i="3" l="1"/>
  <c r="E41" i="3" s="1"/>
  <c r="E12" i="3"/>
  <c r="E14" i="3"/>
  <c r="E15" i="3"/>
  <c r="E40" i="3" s="1"/>
  <c r="E16" i="3"/>
  <c r="E17" i="3"/>
  <c r="E19" i="3"/>
  <c r="E30" i="3" s="1"/>
  <c r="E21" i="3"/>
  <c r="E22" i="3"/>
  <c r="E24" i="3"/>
  <c r="E32" i="3" s="1"/>
  <c r="D4" i="3"/>
  <c r="C37" i="3" s="1"/>
  <c r="I10" i="1"/>
  <c r="G21" i="3"/>
  <c r="C40" i="3" s="1"/>
  <c r="G22" i="3"/>
  <c r="D3" i="5"/>
  <c r="D4" i="5"/>
  <c r="D12" i="5"/>
  <c r="D13" i="5"/>
  <c r="D14" i="5"/>
  <c r="D15" i="5"/>
  <c r="D16" i="5"/>
  <c r="D24" i="5"/>
  <c r="D25" i="5"/>
  <c r="D26" i="5"/>
  <c r="D27" i="5"/>
  <c r="D28" i="5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13" i="4"/>
  <c r="F13" i="4"/>
  <c r="C12" i="1"/>
  <c r="E6" i="1"/>
  <c r="F3" i="7" s="1"/>
  <c r="E28" i="1"/>
  <c r="E7" i="3"/>
  <c r="D25" i="2"/>
  <c r="E25" i="2"/>
  <c r="F25" i="2"/>
  <c r="G25" i="2"/>
  <c r="H25" i="2"/>
  <c r="I25" i="2"/>
  <c r="J25" i="2"/>
  <c r="K25" i="2"/>
  <c r="L25" i="2"/>
  <c r="M25" i="2"/>
  <c r="C25" i="2"/>
  <c r="G17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I4" i="3"/>
  <c r="D6" i="1"/>
  <c r="B3" i="4"/>
  <c r="D19" i="4"/>
  <c r="D35" i="2"/>
  <c r="E35" i="2"/>
  <c r="F35" i="2"/>
  <c r="G35" i="2"/>
  <c r="H35" i="2"/>
  <c r="I35" i="2"/>
  <c r="J35" i="2"/>
  <c r="K35" i="2"/>
  <c r="L35" i="2"/>
  <c r="M35" i="2"/>
  <c r="D36" i="2"/>
  <c r="E36" i="2"/>
  <c r="F36" i="2"/>
  <c r="G36" i="2"/>
  <c r="H36" i="2"/>
  <c r="I36" i="2"/>
  <c r="J36" i="2"/>
  <c r="K36" i="2"/>
  <c r="L36" i="2"/>
  <c r="M36" i="2"/>
  <c r="C36" i="2"/>
  <c r="D7" i="1" s="1"/>
  <c r="C35" i="2"/>
  <c r="C7" i="1" s="1"/>
  <c r="J12" i="1"/>
  <c r="E4" i="2"/>
  <c r="C8" i="2"/>
  <c r="M21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23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K23" i="2"/>
  <c r="J23" i="2"/>
  <c r="L23" i="2"/>
  <c r="E31" i="3" l="1"/>
  <c r="D31" i="3" s="1"/>
  <c r="E29" i="3"/>
  <c r="D29" i="3"/>
  <c r="E28" i="3"/>
  <c r="I31" i="3" s="1"/>
  <c r="J31" i="3" s="1"/>
  <c r="D54" i="5" a="1"/>
  <c r="D54" i="5" s="1"/>
  <c r="D49" i="5" s="1"/>
  <c r="E49" i="5" s="1"/>
  <c r="F9" i="7"/>
  <c r="C11" i="1"/>
  <c r="G22" i="2"/>
  <c r="D30" i="3"/>
  <c r="D22" i="2"/>
  <c r="I22" i="2"/>
  <c r="C22" i="2"/>
  <c r="F22" i="2"/>
  <c r="J19" i="2"/>
  <c r="J44" i="2" s="1"/>
  <c r="J47" i="2" s="1"/>
  <c r="J22" i="2"/>
  <c r="L22" i="2"/>
  <c r="K22" i="2"/>
  <c r="E3" i="7"/>
  <c r="H22" i="2"/>
  <c r="L21" i="2"/>
  <c r="M22" i="2"/>
  <c r="E19" i="2"/>
  <c r="E44" i="2" s="1"/>
  <c r="E47" i="2" s="1"/>
  <c r="E22" i="2"/>
  <c r="F13" i="7"/>
  <c r="G23" i="2"/>
  <c r="D20" i="4"/>
  <c r="D22" i="4" s="1"/>
  <c r="D36" i="5"/>
  <c r="E36" i="5" s="1"/>
  <c r="D6" i="5"/>
  <c r="E6" i="5" s="1"/>
  <c r="G19" i="2"/>
  <c r="G44" i="2" s="1"/>
  <c r="G47" i="2" s="1"/>
  <c r="G21" i="2"/>
  <c r="H21" i="2"/>
  <c r="I21" i="2"/>
  <c r="J21" i="2"/>
  <c r="L19" i="2"/>
  <c r="L44" i="2" s="1"/>
  <c r="L47" i="2" s="1"/>
  <c r="K19" i="2"/>
  <c r="K44" i="2" s="1"/>
  <c r="K47" i="2" s="1"/>
  <c r="K21" i="2"/>
  <c r="H19" i="2"/>
  <c r="F21" i="2"/>
  <c r="M19" i="2"/>
  <c r="M44" i="2" s="1"/>
  <c r="M47" i="2" s="1"/>
  <c r="I19" i="2"/>
  <c r="I44" i="2" s="1"/>
  <c r="I47" i="2" s="1"/>
  <c r="D55" i="5"/>
  <c r="E55" i="5" s="1"/>
  <c r="D42" i="5"/>
  <c r="E42" i="5" s="1"/>
  <c r="D30" i="5"/>
  <c r="E30" i="5" s="1"/>
  <c r="D5" i="5"/>
  <c r="E5" i="5" s="1"/>
  <c r="G8" i="4"/>
  <c r="F12" i="7"/>
  <c r="F17" i="7" s="1"/>
  <c r="F20" i="7" s="1"/>
  <c r="C19" i="2"/>
  <c r="F11" i="7"/>
  <c r="I10" i="7" s="1"/>
  <c r="I12" i="7" s="1"/>
  <c r="E34" i="1"/>
  <c r="I33" i="1"/>
  <c r="I34" i="1" s="1"/>
  <c r="I35" i="1" s="1"/>
  <c r="E37" i="3"/>
  <c r="I29" i="1"/>
  <c r="E21" i="2"/>
  <c r="F19" i="2"/>
  <c r="D21" i="2"/>
  <c r="D19" i="2"/>
  <c r="C21" i="2"/>
  <c r="G3" i="7"/>
  <c r="C3" i="4"/>
  <c r="J16" i="1"/>
  <c r="C12" i="4"/>
  <c r="B3" i="7"/>
  <c r="D42" i="3" l="1"/>
  <c r="F19" i="7"/>
  <c r="E33" i="3"/>
  <c r="I32" i="3" s="1"/>
  <c r="J32" i="3" s="1"/>
  <c r="J33" i="3" s="1"/>
  <c r="C23" i="2"/>
  <c r="D32" i="3"/>
  <c r="D40" i="3"/>
  <c r="D23" i="2"/>
  <c r="I23" i="2"/>
  <c r="H23" i="2"/>
  <c r="H44" i="2"/>
  <c r="H47" i="2" s="1"/>
  <c r="F4" i="2"/>
  <c r="D3" i="7"/>
  <c r="F15" i="7"/>
  <c r="F16" i="7"/>
  <c r="I17" i="7"/>
  <c r="D21" i="4"/>
  <c r="G12" i="7"/>
  <c r="D41" i="3"/>
  <c r="D44" i="2"/>
  <c r="D47" i="2" s="1"/>
  <c r="C44" i="2"/>
  <c r="C47" i="2" s="1"/>
  <c r="F44" i="2"/>
  <c r="F47" i="2" s="1"/>
  <c r="D62" i="5"/>
  <c r="E62" i="5" s="1"/>
  <c r="E35" i="1"/>
  <c r="C38" i="1"/>
  <c r="D3" i="4"/>
  <c r="D37" i="3"/>
  <c r="D28" i="3"/>
  <c r="D36" i="3"/>
  <c r="F23" i="2"/>
  <c r="E23" i="2"/>
  <c r="D6" i="3" l="1"/>
  <c r="I15" i="7"/>
  <c r="I18" i="7"/>
  <c r="I20" i="7"/>
  <c r="F32" i="3"/>
  <c r="F28" i="3"/>
  <c r="F30" i="3"/>
  <c r="D33" i="3"/>
  <c r="C3" i="7"/>
  <c r="G17" i="7"/>
  <c r="G18" i="7" l="1"/>
  <c r="G20" i="7" s="1"/>
  <c r="D7" i="3"/>
  <c r="G16" i="7"/>
  <c r="G15" i="7"/>
  <c r="G19" i="7" l="1"/>
  <c r="D18" i="5"/>
  <c r="F44" i="1"/>
  <c r="F43" i="1" l="1"/>
  <c r="D64" i="5"/>
  <c r="D7" i="5" s="1"/>
  <c r="D8" i="5" s="1"/>
  <c r="E8" i="5" s="1"/>
  <c r="F41" i="1" s="1"/>
  <c r="F16" i="1" l="1"/>
  <c r="H16" i="1" s="1"/>
  <c r="D5" i="4"/>
  <c r="E6" i="3"/>
  <c r="H10" i="7" l="1"/>
  <c r="H3" i="7"/>
  <c r="E3" i="4" l="1"/>
  <c r="F20" i="4"/>
  <c r="E20" i="4"/>
  <c r="H12" i="7"/>
  <c r="H17" i="7" s="1"/>
  <c r="H18" i="7" l="1"/>
  <c r="H20" i="7"/>
  <c r="I16" i="7"/>
  <c r="I3" i="7" s="1"/>
  <c r="E2" i="7" s="1"/>
  <c r="H16" i="7"/>
  <c r="H15" i="7"/>
  <c r="F8" i="4" l="1"/>
  <c r="D8" i="4"/>
  <c r="F3" i="4"/>
  <c r="G4" i="4" l="1"/>
  <c r="B13" i="4" s="1"/>
  <c r="G2" i="4" s="1"/>
  <c r="D9" i="4"/>
  <c r="F9" i="4"/>
  <c r="E8" i="4"/>
  <c r="E9" i="4" s="1"/>
  <c r="E10" i="4" s="1"/>
  <c r="D10" i="4" l="1"/>
  <c r="E5" i="4"/>
  <c r="F10" i="4" l="1"/>
  <c r="G9" i="4" l="1"/>
  <c r="E14" i="4" l="1"/>
  <c r="F14" i="4" l="1"/>
  <c r="G14" i="4" s="1"/>
  <c r="C19" i="4" l="1"/>
  <c r="G19" i="4" s="1"/>
  <c r="C22" i="4" l="1"/>
  <c r="G22" i="4" s="1"/>
  <c r="C21" i="4"/>
  <c r="G21" i="4" s="1"/>
  <c r="E19" i="4"/>
  <c r="F19" i="4"/>
  <c r="E14" i="1"/>
  <c r="F22" i="4" l="1"/>
  <c r="E22" i="4"/>
  <c r="I38" i="1"/>
  <c r="F48" i="1"/>
  <c r="F21" i="4"/>
  <c r="I37" i="1"/>
  <c r="E21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<sst xmlns="http://schemas.openxmlformats.org/spreadsheetml/2006/main" count="395" uniqueCount="338">
  <si>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</si>
  <si>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</si>
  <si>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</si>
  <si>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</si>
  <si>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</si>
  <si>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</si>
  <si>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</si>
  <si>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</si>
  <si>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</si>
  <si>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</si>
  <si>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</si>
  <si>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</si>
  <si>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</si>
  <si>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</si>
  <si>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</si>
  <si>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</si>
  <si>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</si>
  <si>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</si>
  <si>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</si>
  <si>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</si>
  <si>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</si>
  <si>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</si>
  <si>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</si>
  <si>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</si>
  <si>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</si>
  <si>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</si>
  <si>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</si>
  <si>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</si>
  <si>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</si>
  <si>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</si>
  <si>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</si>
  <si>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</si>
  <si>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</si>
  <si>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</si>
  <si>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</si>
  <si>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</si>
  <si>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</si>
  <si>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</si>
  <si>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</si>
  <si>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</si>
  <si>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</si>
  <si>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</si>
  <si>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</si>
  <si>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</si>
  <si>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</si>
  <si>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</si>
  <si>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</si>
  <si>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</si>
  <si>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</si>
  <si>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</si>
  <si>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</si>
  <si>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</si>
  <si>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Interest-bearing Debt</t>
  </si>
  <si>
    <t>Total Equity</t>
  </si>
  <si>
    <t>Dividend and Buyback</t>
  </si>
  <si>
    <t>Share Repurchase</t>
  </si>
  <si>
    <t>Financial Leverage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</si>
  <si>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</si>
  <si>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</si>
  <si>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</si>
  <si>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</si>
  <si>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</si>
  <si>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</si>
  <si>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</si>
  <si>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</si>
  <si>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</si>
  <si>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</si>
  <si>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Properties held for sale</t>
  </si>
  <si>
    <t>Properties under development</t>
  </si>
  <si>
    <t>Investments in JV or associate</t>
  </si>
  <si>
    <t>Intangible assets</t>
  </si>
  <si>
    <t>Other assets &amp; Goodwill</t>
  </si>
  <si>
    <t>Balance Sheet items Adjustments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</si>
  <si>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</si>
  <si>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</si>
  <si>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</si>
  <si>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</si>
  <si>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</si>
  <si>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</si>
  <si>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</si>
  <si>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</si>
  <si>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</si>
  <si>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</si>
  <si>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</si>
  <si>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</si>
  <si>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</si>
  <si>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</si>
  <si>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</si>
  <si>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</si>
  <si>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</si>
  <si>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</si>
  <si>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</si>
  <si>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</si>
  <si>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</si>
  <si>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</si>
  <si>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</si>
  <si>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</si>
  <si>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</si>
  <si>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</si>
  <si>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</si>
  <si>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</si>
  <si>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</si>
  <si>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</si>
  <si>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</si>
  <si>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</si>
  <si>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</si>
  <si>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</si>
  <si>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</si>
  <si>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</si>
  <si>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</si>
  <si>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</si>
  <si>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</si>
  <si>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</si>
  <si>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</si>
  <si>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</si>
  <si>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</si>
  <si>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</si>
  <si>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</si>
  <si>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</si>
  <si>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</si>
  <si>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</si>
  <si>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</si>
  <si>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</si>
  <si>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</si>
  <si>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</si>
  <si>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</si>
  <si>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</si>
  <si>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</si>
  <si>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</si>
  <si>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</si>
  <si>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</si>
  <si>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</si>
  <si>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</si>
  <si>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</si>
  <si>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</si>
  <si>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</si>
  <si>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</si>
  <si>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</si>
  <si>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</si>
  <si>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</si>
  <si>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</si>
  <si>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</si>
  <si>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</si>
  <si>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</si>
  <si>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</si>
  <si>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 xml:space="preserve">Non-common Interest = </t>
  </si>
  <si>
    <t>TV per share</t>
  </si>
  <si>
    <t>Present Value</t>
  </si>
  <si>
    <t>Ending Cash Position</t>
  </si>
  <si>
    <t>Non-operating Assets</t>
  </si>
  <si>
    <t>is_OP</t>
  </si>
  <si>
    <t>Y</t>
  </si>
  <si>
    <t>EBIT =</t>
  </si>
  <si>
    <t>Operating Income Projections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</si>
  <si>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</si>
  <si>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</si>
  <si>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</si>
  <si>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</si>
  <si>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</si>
  <si>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</si>
  <si>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</si>
  <si>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</si>
  <si>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</si>
  <si>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</si>
  <si>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</si>
  <si>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</si>
  <si>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</si>
  <si>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</si>
  <si>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</si>
  <si>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</si>
  <si>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</si>
  <si>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</si>
  <si>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</si>
  <si>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</si>
  <si>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</si>
  <si>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</si>
  <si>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</si>
  <si>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</si>
  <si>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</si>
  <si>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</si>
  <si>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</si>
  <si>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</si>
  <si>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</si>
  <si>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</si>
  <si>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</si>
  <si>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PP&amp;E &amp; related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</si>
  <si>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</si>
  <si>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</si>
  <si>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</si>
  <si>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</si>
  <si>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Total Liabilities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</si>
  <si>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</si>
  <si>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</si>
  <si>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</si>
  <si>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</si>
  <si>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</si>
  <si>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</si>
  <si>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</si>
  <si>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</si>
  <si>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</si>
  <si>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</si>
  <si>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</si>
  <si>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</si>
  <si>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</si>
  <si>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</si>
  <si>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</si>
  <si>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</si>
  <si>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</si>
  <si>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</si>
  <si>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</si>
  <si>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</si>
  <si>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</si>
  <si>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</si>
  <si>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</si>
  <si>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</si>
  <si>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</si>
  <si>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</si>
  <si>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</si>
  <si>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</si>
  <si>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</si>
  <si>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</si>
  <si>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</si>
  <si>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Frd. DPS</t>
  </si>
  <si>
    <t>Achievable Market Exit Price</t>
  </si>
  <si>
    <t>Conservative Exit Price</t>
  </si>
  <si>
    <t>Conservative Exit Price =</t>
  </si>
  <si>
    <t>Orderly Liquidation Values =</t>
  </si>
  <si>
    <t>Orderly Liquidation Value per Shares =</t>
  </si>
  <si>
    <t>Target Return</t>
  </si>
  <si>
    <t>MOS =</t>
  </si>
  <si>
    <t>CN</t>
  </si>
  <si>
    <t>Direct TV Inputs</t>
  </si>
  <si>
    <t>P/B</t>
  </si>
  <si>
    <t>LFY P/S</t>
  </si>
  <si>
    <t>DCF Model Ouput</t>
  </si>
  <si>
    <t>DCF Model</t>
  </si>
  <si>
    <t>P/B &amp; P/S Ratios:</t>
  </si>
  <si>
    <t>Expected Prices</t>
  </si>
  <si>
    <t>4. The Company's Liquidity and leverage rating</t>
  </si>
  <si>
    <t>Despite a cylical one</t>
  </si>
  <si>
    <t>Value @</t>
  </si>
  <si>
    <t>其他</t>
  </si>
  <si>
    <t>Gross profit =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</si>
  <si>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</si>
  <si>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</si>
  <si>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</si>
  <si>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</si>
  <si>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</si>
  <si>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</si>
  <si>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</si>
  <si>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</si>
  <si>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</si>
  <si>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</si>
  <si>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</si>
  <si>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</si>
  <si>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</si>
  <si>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</si>
  <si>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</si>
  <si>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并购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</si>
  <si>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</si>
  <si>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</si>
  <si>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</si>
  <si>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</si>
  <si>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</si>
  <si>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</si>
  <si>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%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</si>
  <si>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</si>
  <si>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</si>
  <si>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</si>
  <si>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</si>
  <si>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</si>
  <si>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</si>
  <si>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</si>
  <si>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CNY</t>
  </si>
  <si>
    <t>Quarter</t>
  </si>
  <si>
    <t>Doesn't have a real brand yet</t>
  </si>
  <si>
    <t xml:space="preserve">Asset Plays </t>
  </si>
  <si>
    <t>Net Income</t>
  </si>
  <si>
    <t>Cost of Equity</t>
  </si>
  <si>
    <t>Net Interest Income</t>
  </si>
  <si>
    <t>Interest Inocme</t>
  </si>
  <si>
    <t>1). Net Interest Income</t>
  </si>
  <si>
    <t>2). Service Income</t>
  </si>
  <si>
    <t>3). Investment Income</t>
  </si>
  <si>
    <t>4). Other Operating Income</t>
  </si>
  <si>
    <t>Core-Monetary Asset</t>
  </si>
  <si>
    <t>Noncore-Monetary Asset</t>
  </si>
  <si>
    <t>Other liabilities</t>
  </si>
  <si>
    <t>Deposit in other banks</t>
  </si>
  <si>
    <t>Precious metals</t>
  </si>
  <si>
    <t>FV Investments</t>
  </si>
  <si>
    <t>Derivatives</t>
  </si>
  <si>
    <t>Amortized Cost Bonds</t>
  </si>
  <si>
    <t>DTA</t>
  </si>
  <si>
    <t>Loans</t>
  </si>
  <si>
    <t>Repurchase Agreements</t>
  </si>
  <si>
    <t>Interbank lending</t>
  </si>
  <si>
    <t>Loans &amp; other Monetary assets</t>
  </si>
  <si>
    <t>Tangible assets</t>
  </si>
  <si>
    <t>Deposit</t>
  </si>
  <si>
    <t>Interbank Borrowings</t>
  </si>
  <si>
    <t>Issued Bonds</t>
  </si>
  <si>
    <t>FV Financial Liabilities</t>
  </si>
  <si>
    <t>Book Asset/Equity Ratio</t>
  </si>
  <si>
    <t>Book D/E Ratio</t>
  </si>
  <si>
    <t>Financial Liabilities</t>
  </si>
  <si>
    <t>CE Tier 1 Ratio</t>
  </si>
  <si>
    <t>Intangible Assets</t>
  </si>
  <si>
    <t>Assets/Liabilities Ratio</t>
  </si>
  <si>
    <t>Book CE Tier 1 Ratio</t>
  </si>
  <si>
    <t>Other Financial Liabilities</t>
  </si>
  <si>
    <t>Cash Ratio</t>
  </si>
  <si>
    <t>Payout Ratio</t>
  </si>
  <si>
    <t>1288.HK</t>
  </si>
  <si>
    <t>农业银行</t>
  </si>
  <si>
    <t>EPS</t>
  </si>
  <si>
    <t>Dividends Per share</t>
  </si>
  <si>
    <t>2. Non-operating Assets, STI &amp; Cash</t>
  </si>
  <si>
    <t>中国4大国有银行</t>
  </si>
  <si>
    <t>Dividend Growth Rate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</si>
  <si>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DDM =</t>
    </r>
  </si>
  <si>
    <t>+ CAP Period</t>
  </si>
  <si>
    <t>Dividends</t>
  </si>
  <si>
    <t>Service Income</t>
  </si>
  <si>
    <t>Investment Income</t>
  </si>
  <si>
    <t>Other Income</t>
  </si>
  <si>
    <t>Revenue Growth rate</t>
  </si>
  <si>
    <t>Bank Risk Indicators</t>
  </si>
  <si>
    <t>Credit impairment losses</t>
  </si>
  <si>
    <t>Impair. losses on other assets</t>
  </si>
  <si>
    <t>Customer Deposit</t>
  </si>
  <si>
    <t>Total Asset / Common Equity</t>
  </si>
  <si>
    <t>Net Interest Income/ Sales</t>
  </si>
  <si>
    <t>Net Interest Income / Loan</t>
  </si>
  <si>
    <t>Net Profit Margin</t>
  </si>
  <si>
    <t>Credit impairment losses %</t>
  </si>
  <si>
    <t>Liquidity ratio (&gt;=25%)</t>
  </si>
  <si>
    <t>Loan migration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</si>
</sst>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&quot;Past &quot;0&quot; yrs Avg. NOPAT&quot;"/>
    <numFmt numFmtId="174" formatCode="#,##0;[Red]\(#,##0\);\-"/>
    <numFmt numFmtId="175" formatCode="&quot;Current Price = &quot;0.00"/>
    <numFmt numFmtId="176" formatCode="yyyy\-mm\-dd;@"/>
    <numFmt numFmtId="177" formatCode="_(* #,##0_);_(* \(#,##0\);_(* &quot;-&quot;??_);_(@_)"/>
    <numFmt numFmtId="178" formatCode="#,##0.00;[Red]#,##0.00"/>
    <numFmt numFmtId="179" formatCode="&quot;in&quot;\ 0\ &quot;Months&quot;"/>
    <numFmt numFmtId="180" formatCode="&quot;Breakeven Price = &quot;0.00"/>
    <numFmt numFmtId="181" formatCode="&quot;Next Buy Price = &quot;0.00"/>
    <numFmt numFmtId="182" formatCode="0.0%"/>
    <numFmt numFmtId="183" formatCode="&quot;FCFF per share = &quot;#,##0.00"/>
    <numFmt numFmtId="184" formatCode="&quot;Total &quot;0.00%"/>
    <numFmt numFmtId="185" formatCode="#,##0_ ;[Red]\-#,##0\ "/>
  </numFmts>
  <fonts count="37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  <font>
      <sz val="10"/>
      <name val="Geneva"/>
    </font>
    <font>
      <sz val="10"/>
      <name val="Geneva"/>
      <family val="2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 tint="-0.14999847407452621"/>
        <bgColor rgb="FFB7B7B7"/>
      </patternFill>
    </fill>
  </fills>
  <borders count="3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5" fillId="0" borderId="9"/>
    <xf numFmtId="8" fontId="36" fillId="0" borderId="9" applyFont="0" applyFill="0" applyBorder="0" applyAlignment="0" applyProtection="0"/>
    <xf numFmtId="9" fontId="36" fillId="0" borderId="9" applyFont="0" applyFill="0" applyBorder="0" applyAlignment="0" applyProtection="0"/>
  </cellStyleXfs>
  <cellXfs count="34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3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5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9" xfId="0" applyNumberFormat="1" applyFont="1" applyBorder="1"/>
    <xf numFmtId="177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6" fontId="18" fillId="4" borderId="5" xfId="0" applyNumberFormat="1" applyFont="1" applyFill="1" applyBorder="1" applyAlignment="1">
      <alignment horizontal="center"/>
    </xf>
    <xf numFmtId="176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0" fontId="27" fillId="0" borderId="9" xfId="0" applyNumberFormat="1" applyFont="1" applyBorder="1" applyAlignment="1">
      <alignment horizontal="center"/>
    </xf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1" xfId="0" applyFont="1" applyBorder="1" applyAlignment="1">
      <alignment horizontal="right"/>
    </xf>
    <xf numFmtId="0" fontId="15" fillId="0" borderId="11" xfId="0" applyFont="1" applyBorder="1"/>
    <xf numFmtId="176" fontId="18" fillId="0" borderId="9" xfId="0" applyNumberFormat="1" applyFont="1" applyBorder="1" applyAlignment="1">
      <alignment horizontal="center"/>
    </xf>
    <xf numFmtId="181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2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5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10" fontId="15" fillId="0" borderId="27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4" fontId="5" fillId="13" borderId="26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6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6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6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4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4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79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3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28" xfId="0" applyNumberFormat="1" applyFont="1" applyFill="1" applyBorder="1" applyAlignment="1">
      <alignment horizontal="center"/>
    </xf>
    <xf numFmtId="4" fontId="1" fillId="2" borderId="28" xfId="0" applyNumberFormat="1" applyFont="1" applyFill="1" applyBorder="1" applyAlignment="1">
      <alignment horizontal="center"/>
    </xf>
    <xf numFmtId="4" fontId="1" fillId="10" borderId="28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29" xfId="0" applyNumberFormat="1" applyFont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3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8" fontId="0" fillId="0" borderId="0" xfId="0" applyNumberFormat="1"/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5" fillId="0" borderId="0" xfId="0" applyNumberFormat="1" applyFont="1"/>
    <xf numFmtId="185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1" fillId="0" borderId="15" xfId="0" applyNumberFormat="1" applyFont="1" applyBorder="1" applyAlignment="1">
      <alignment horizontal="center"/>
    </xf>
    <xf numFmtId="0" fontId="8" fillId="0" borderId="15" xfId="0" applyFont="1" applyBorder="1"/>
    <xf numFmtId="3" fontId="1" fillId="0" borderId="15" xfId="0" applyNumberFormat="1" applyFont="1" applyBorder="1" applyAlignment="1">
      <alignment horizontal="right"/>
    </xf>
    <xf numFmtId="10" fontId="8" fillId="0" borderId="15" xfId="0" applyNumberFormat="1" applyFont="1" applyBorder="1" applyAlignment="1">
      <alignment horizontal="center"/>
    </xf>
    <xf numFmtId="10" fontId="8" fillId="2" borderId="9" xfId="0" applyNumberFormat="1" applyFont="1" applyFill="1" applyBorder="1" applyAlignment="1">
      <alignment horizontal="right"/>
    </xf>
    <xf numFmtId="0" fontId="7" fillId="0" borderId="9" xfId="0" applyFont="1" applyBorder="1"/>
    <xf numFmtId="3" fontId="2" fillId="15" borderId="11" xfId="0" applyNumberFormat="1" applyFont="1" applyFill="1" applyBorder="1" applyAlignment="1">
      <alignment horizontal="center"/>
    </xf>
    <xf numFmtId="3" fontId="2" fillId="9" borderId="11" xfId="0" applyNumberFormat="1" applyFont="1" applyFill="1" applyBorder="1" applyAlignment="1">
      <alignment horizontal="center"/>
    </xf>
    <xf numFmtId="4" fontId="2" fillId="0" borderId="9" xfId="0" applyNumberFormat="1" applyFont="1" applyBorder="1" applyAlignment="1">
      <alignment horizontal="center"/>
    </xf>
    <xf numFmtId="4" fontId="15" fillId="0" borderId="9" xfId="0" applyNumberFormat="1" applyFont="1" applyBorder="1" applyAlignment="1">
      <alignment horizontal="right"/>
    </xf>
    <xf numFmtId="4" fontId="5" fillId="0" borderId="9" xfId="0" quotePrefix="1" applyNumberFormat="1" applyFont="1" applyBorder="1" applyAlignment="1">
      <alignment horizontal="right"/>
    </xf>
    <xf numFmtId="3" fontId="7" fillId="0" borderId="12" xfId="0" applyNumberFormat="1" applyFont="1" applyBorder="1" applyAlignment="1">
      <alignment horizontal="right"/>
    </xf>
    <xf numFmtId="0" fontId="25" fillId="0" borderId="9" xfId="0" applyFont="1" applyBorder="1" applyAlignment="1">
      <alignment horizont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6" fontId="2" fillId="9" borderId="12" xfId="0" applyNumberFormat="1" applyFont="1" applyFill="1" applyBorder="1" applyAlignment="1">
      <alignment horizontal="center"/>
    </xf>
    <xf numFmtId="176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2" xfId="0" applyNumberFormat="1" applyFont="1" applyFill="1" applyBorder="1" applyAlignment="1">
      <alignment horizontal="center"/>
    </xf>
    <xf numFmtId="10" fontId="2" fillId="16" borderId="21" xfId="0" applyNumberFormat="1" applyFont="1" applyFill="1" applyBorder="1" applyAlignment="1">
      <alignment horizontal="center"/>
    </xf>
    <xf numFmtId="10" fontId="2" fillId="8" borderId="23" xfId="0" applyNumberFormat="1" applyFont="1" applyFill="1" applyBorder="1" applyAlignment="1">
      <alignment horizontal="center"/>
    </xf>
    <xf numFmtId="10" fontId="2" fillId="8" borderId="24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19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0" xfId="0" applyNumberFormat="1" applyFont="1" applyFill="1" applyBorder="1" applyAlignment="1">
      <alignment horizontal="center" vertical="center"/>
    </xf>
    <xf numFmtId="184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0" fontId="15" fillId="21" borderId="9" xfId="0" applyFont="1" applyFill="1" applyBorder="1" applyAlignment="1">
      <alignment horizontal="center"/>
    </xf>
  </cellXfs>
  <cellStyles count="6">
    <cellStyle name="Comma" xfId="1" builtinId="3"/>
    <cellStyle name="Currency 2" xfId="4" xr:uid="{D57E475E-5D8A-4E00-A8E6-9A8B524A4962}"/>
    <cellStyle name="Hyperlink" xfId="2" builtinId="8"/>
    <cellStyle name="Normal" xfId="0" builtinId="0"/>
    <cellStyle name="Normal 2" xfId="3" xr:uid="{6E8B5EC0-4175-45C1-9BCC-7476D05CBEAC}"/>
    <cellStyle name="Percent 2" xfId="5" xr:uid="{CBC32539-64A2-4336-9F96-B2D4C540D867}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78677</c:v>
                </c:pt>
                <c:pt idx="3" formatCode="#,##0">
                  <c:v>87681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241936</c:v>
                </c:pt>
                <c:pt idx="3" formatCode="#,##0">
                  <c:v>259140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zoomScaleNormal="100" workbookViewId="0">
      <selection activeCell="C24" sqref="C24:J24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1288.HK : 农业银行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296" t="s">
        <v>313</v>
      </c>
      <c r="D3" s="297"/>
      <c r="E3" s="6"/>
      <c r="G3" s="7" t="s">
        <v>2</v>
      </c>
      <c r="I3" s="308" t="s">
        <v>3</v>
      </c>
      <c r="J3" s="308"/>
    </row>
    <row r="4" spans="1:12" ht="15.75" customHeight="1">
      <c r="B4" s="5" t="s">
        <v>4</v>
      </c>
      <c r="C4" s="298" t="s">
        <v>314</v>
      </c>
      <c r="D4" s="299"/>
      <c r="E4" s="6"/>
      <c r="G4" s="5" t="s">
        <v>5</v>
      </c>
      <c r="I4" s="200">
        <v>1.81</v>
      </c>
      <c r="J4" s="201" t="s">
        <v>6</v>
      </c>
      <c r="K4" s="90"/>
    </row>
    <row r="5" spans="1:12" ht="15.75" customHeight="1">
      <c r="B5" s="5" t="s">
        <v>7</v>
      </c>
      <c r="C5" s="300">
        <v>45191</v>
      </c>
      <c r="D5" s="299"/>
      <c r="E5" s="79" t="str">
        <f ca="1">IF(C5+30&gt;=TODAY(),"Patience Premium","")</f>
        <v>Patience Premium</v>
      </c>
      <c r="G5" s="5" t="s">
        <v>8</v>
      </c>
      <c r="I5" s="309">
        <v>2017360000</v>
      </c>
      <c r="J5" s="309"/>
      <c r="K5" s="89"/>
      <c r="L5" s="52"/>
    </row>
    <row r="6" spans="1:12" ht="15.75" customHeight="1">
      <c r="B6" s="12" t="s">
        <v>156</v>
      </c>
      <c r="C6" s="198">
        <v>8</v>
      </c>
      <c r="D6" s="199">
        <f>EOMONTH(EDATE(Asset_Model!D9,C6),0)</f>
        <v>45351</v>
      </c>
      <c r="E6" s="122">
        <f>IF(Asset_Model!E9="FY",Asset_Model!D9,Data!C3)</f>
        <v>44926</v>
      </c>
      <c r="G6" s="85" t="s">
        <v>9</v>
      </c>
      <c r="H6" s="84"/>
      <c r="I6" s="310">
        <f>I4*I5/1000000</f>
        <v>3651.4216000000001</v>
      </c>
      <c r="J6" s="310"/>
      <c r="K6" s="89"/>
    </row>
    <row r="7" spans="1:12" ht="15.75" customHeight="1">
      <c r="B7" s="86" t="s">
        <v>10</v>
      </c>
      <c r="C7" s="197">
        <f>(Data!C35*Exchange_Rate)/I4</f>
        <v>25.982227424721653</v>
      </c>
      <c r="D7" s="197">
        <f>(Data!C36*Exchange_Rate)/I4</f>
        <v>0</v>
      </c>
      <c r="E7" s="91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18"/>
      <c r="D9" s="116"/>
      <c r="E9" s="5"/>
      <c r="G9" s="5" t="s">
        <v>13</v>
      </c>
      <c r="I9" s="204">
        <f>IF(Data!F3&lt;=0,"NNI",I4/((Data!F3*I12)/(I5/Data!C4)))</f>
        <v>1.3022508812180599E-2</v>
      </c>
      <c r="J9" s="152">
        <f>IF(I9="NNI","NNI",1/I9)</f>
        <v>76.790118895112613</v>
      </c>
    </row>
    <row r="10" spans="1:12" ht="15.75" customHeight="1">
      <c r="B10" s="3" t="s">
        <v>165</v>
      </c>
      <c r="C10" s="117" t="s">
        <v>230</v>
      </c>
      <c r="D10" s="117">
        <v>2.8999999999999998E-2</v>
      </c>
      <c r="E10" s="5"/>
      <c r="G10" s="85" t="s">
        <v>236</v>
      </c>
      <c r="H10" s="84"/>
      <c r="I10" s="151">
        <f>I4/(Data!C29*I12*Data!C4/Common_Shares)</f>
        <v>1.2618114647037766E-3</v>
      </c>
      <c r="J10" s="202">
        <f>I4/(Data!C7*Data!C4/Common_Shares*Exchange_Rate)</f>
        <v>4.6514921917032012E-3</v>
      </c>
    </row>
    <row r="11" spans="1:12" ht="15.75" customHeight="1" thickBot="1">
      <c r="B11" s="119" t="s">
        <v>166</v>
      </c>
      <c r="C11" s="321">
        <f ca="1">C12-D10</f>
        <v>6.7000000000000004E-2</v>
      </c>
      <c r="D11" s="322"/>
      <c r="E11" s="13"/>
      <c r="G11" s="5" t="s">
        <v>14</v>
      </c>
      <c r="H11" s="6"/>
      <c r="I11" s="308" t="s">
        <v>273</v>
      </c>
      <c r="J11" s="308"/>
    </row>
    <row r="12" spans="1:12" ht="15.75" customHeight="1" thickTop="1">
      <c r="B12" s="120" t="s">
        <v>278</v>
      </c>
      <c r="C12" s="319">
        <f ca="1">IF(C10="CN",8%,6%)*IF($C$5+30&gt;=TODAY(),1.2,1)</f>
        <v>9.6000000000000002E-2</v>
      </c>
      <c r="D12" s="320"/>
      <c r="G12" s="85" t="s">
        <v>15</v>
      </c>
      <c r="H12" s="84"/>
      <c r="I12" s="205">
        <v>1.0820139646530151</v>
      </c>
      <c r="J12" s="206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28" t="s">
        <v>203</v>
      </c>
      <c r="D14" s="84"/>
      <c r="E14" s="153" t="e">
        <f>Val_Models!C19</f>
        <v>#REF!</v>
      </c>
      <c r="F14" s="96"/>
      <c r="G14" s="97"/>
      <c r="H14" s="128" t="s">
        <v>229</v>
      </c>
      <c r="I14" s="219">
        <v>0.25</v>
      </c>
      <c r="J14" s="84"/>
    </row>
    <row r="15" spans="1:12" ht="15.75" customHeight="1">
      <c r="A15" s="6"/>
      <c r="B15" s="103" t="str">
        <f>"(in "&amp;J4&amp;")"</f>
        <v>(in HKD)</v>
      </c>
      <c r="C15" s="210" t="s">
        <v>228</v>
      </c>
      <c r="D15" s="55" t="s">
        <v>17</v>
      </c>
      <c r="E15" s="6"/>
      <c r="F15" s="38" t="s">
        <v>20</v>
      </c>
      <c r="G15" s="6"/>
      <c r="H15" s="129" t="s">
        <v>19</v>
      </c>
      <c r="I15" s="55" t="s">
        <v>222</v>
      </c>
      <c r="J15" s="55" t="s">
        <v>18</v>
      </c>
    </row>
    <row r="16" spans="1:12" ht="15.75" customHeight="1">
      <c r="B16" s="82">
        <f>I4</f>
        <v>1.81</v>
      </c>
      <c r="C16" s="333">
        <v>0.2</v>
      </c>
      <c r="D16" s="217" t="e">
        <f>I37/B16-(1+C16)</f>
        <v>#REF!</v>
      </c>
      <c r="E16" s="314" t="s">
        <v>21</v>
      </c>
      <c r="F16" s="311" t="e">
        <f>(Val_Models!#REF!)*Exchange_Rate</f>
        <v>#REF!</v>
      </c>
      <c r="G16" s="314" t="s">
        <v>22</v>
      </c>
      <c r="H16" s="218" t="e">
        <f>B16-$F$16</f>
        <v>#REF!</v>
      </c>
      <c r="I16" s="327">
        <v>0</v>
      </c>
      <c r="J16" s="152">
        <f>I16/B16</f>
        <v>0</v>
      </c>
    </row>
    <row r="17" spans="1:10" ht="15.75" customHeight="1">
      <c r="B17" s="112" t="e">
        <f>MIN((I37+I38)/2,I37/(1+C16), IF(J20=0,E14,I37/(1+C16)))</f>
        <v>#REF!</v>
      </c>
      <c r="C17" s="334"/>
      <c r="D17" s="136" t="e">
        <f>I37/B17-(1+C16)</f>
        <v>#REF!</v>
      </c>
      <c r="E17" s="315"/>
      <c r="F17" s="312"/>
      <c r="G17" s="315"/>
      <c r="H17" s="215" t="e">
        <f>B17-$F$16</f>
        <v>#REF!</v>
      </c>
      <c r="I17" s="328"/>
      <c r="J17" s="136" t="e">
        <f>I16/B17</f>
        <v>#REF!</v>
      </c>
    </row>
    <row r="18" spans="1:10" ht="15.75" customHeight="1">
      <c r="B18" s="123">
        <f>C37</f>
        <v>1.8</v>
      </c>
      <c r="C18" s="335"/>
      <c r="D18" s="216" t="e">
        <f>I37/B18-(1+C16)</f>
        <v>#REF!</v>
      </c>
      <c r="E18" s="316"/>
      <c r="F18" s="313"/>
      <c r="G18" s="316"/>
      <c r="H18" s="96" t="e">
        <f>B18-$F$16</f>
        <v>#REF!</v>
      </c>
      <c r="I18" s="329"/>
      <c r="J18" s="144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154</v>
      </c>
      <c r="D20" s="172" t="s">
        <v>276</v>
      </c>
      <c r="E20" s="105" t="s">
        <v>163</v>
      </c>
      <c r="F20" s="6"/>
      <c r="G20" s="6"/>
      <c r="H20" s="6"/>
      <c r="I20" s="6"/>
      <c r="J20" s="125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03" t="s">
        <v>318</v>
      </c>
      <c r="D21" s="304"/>
      <c r="E21" s="305"/>
      <c r="F21" s="305"/>
      <c r="G21" s="305"/>
      <c r="H21" s="305"/>
      <c r="I21" s="305"/>
      <c r="J21" s="305"/>
    </row>
    <row r="22" spans="1:10" ht="52.5" customHeight="1">
      <c r="A22" s="6"/>
      <c r="B22" s="19" t="s">
        <v>25</v>
      </c>
      <c r="C22" s="318"/>
      <c r="D22" s="297"/>
      <c r="E22" s="297"/>
      <c r="F22" s="297"/>
      <c r="G22" s="318"/>
      <c r="H22" s="318"/>
      <c r="I22" s="297"/>
      <c r="J22" s="297"/>
    </row>
    <row r="23" spans="1:10" ht="52.5" customHeight="1">
      <c r="A23" s="6"/>
      <c r="B23" s="131" t="s">
        <v>26</v>
      </c>
      <c r="C23" s="306"/>
      <c r="D23" s="307"/>
      <c r="E23" s="307"/>
      <c r="F23" s="307"/>
      <c r="G23" s="306"/>
      <c r="H23" s="306"/>
      <c r="I23" s="307"/>
      <c r="J23" s="307"/>
    </row>
    <row r="24" spans="1:10" ht="52.5" customHeight="1">
      <c r="A24" s="6"/>
      <c r="B24" s="19" t="s">
        <v>216</v>
      </c>
      <c r="C24" s="281"/>
      <c r="D24" s="281"/>
      <c r="E24" s="281"/>
      <c r="F24" s="281"/>
      <c r="G24" s="281"/>
      <c r="H24" s="281"/>
      <c r="I24" s="281"/>
      <c r="J24" s="281"/>
    </row>
    <row r="25" spans="1:10" ht="52.5" customHeight="1">
      <c r="A25" s="6"/>
      <c r="B25" s="131" t="s">
        <v>215</v>
      </c>
      <c r="C25" s="282"/>
      <c r="D25" s="282"/>
      <c r="E25" s="282"/>
      <c r="F25" s="282"/>
      <c r="G25" s="282"/>
      <c r="H25" s="282"/>
      <c r="I25" s="282"/>
      <c r="J25" s="28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07">
        <v>660000</v>
      </c>
      <c r="E27" s="6"/>
      <c r="F27" s="5"/>
      <c r="G27" s="6"/>
      <c r="H27" s="208" t="s">
        <v>210</v>
      </c>
      <c r="I27" s="22"/>
      <c r="J27" s="54">
        <f>C16</f>
        <v>0.2</v>
      </c>
    </row>
    <row r="28" spans="1:10" ht="15.75" customHeight="1">
      <c r="B28" s="18" t="s">
        <v>29</v>
      </c>
      <c r="C28" s="301">
        <v>45180</v>
      </c>
      <c r="D28" s="302"/>
      <c r="E28" s="332" t="str">
        <f>IF(C28="","","Action_Planning")</f>
        <v>Action_Planning</v>
      </c>
      <c r="F28" s="332"/>
      <c r="G28" s="332"/>
      <c r="H28" s="332"/>
      <c r="I28" s="317" t="s">
        <v>30</v>
      </c>
      <c r="J28" s="317"/>
    </row>
    <row r="29" spans="1:10" ht="15.75" customHeight="1">
      <c r="B29" s="18" t="s">
        <v>31</v>
      </c>
      <c r="C29" s="326">
        <f>C33/D27</f>
        <v>8.1818181818181818E-2</v>
      </c>
      <c r="D29" s="325"/>
      <c r="E29" s="324">
        <f>E33/D27</f>
        <v>7.2727272727272724E-2</v>
      </c>
      <c r="F29" s="325"/>
      <c r="G29" s="331">
        <f>G33/D27</f>
        <v>0</v>
      </c>
      <c r="H29" s="331"/>
      <c r="I29" s="330">
        <f>C29+E29+G29</f>
        <v>0.15454545454545454</v>
      </c>
      <c r="J29" s="330"/>
    </row>
    <row r="30" spans="1:10" ht="15.75" customHeight="1">
      <c r="B30" s="18" t="s">
        <v>32</v>
      </c>
      <c r="C30" s="309">
        <v>30000</v>
      </c>
      <c r="D30" s="299"/>
      <c r="E30" s="309">
        <v>30000</v>
      </c>
      <c r="F30" s="299"/>
      <c r="G30" s="309"/>
      <c r="H30" s="309"/>
      <c r="I30" s="336">
        <f>C30+E30+G30</f>
        <v>60000</v>
      </c>
      <c r="J30" s="336"/>
    </row>
    <row r="31" spans="1:10" ht="15.75" customHeight="1">
      <c r="B31" s="18" t="s">
        <v>33</v>
      </c>
      <c r="C31" s="323">
        <v>1.8</v>
      </c>
      <c r="D31" s="299"/>
      <c r="E31" s="323">
        <v>1.6</v>
      </c>
      <c r="F31" s="299"/>
      <c r="G31" s="323"/>
      <c r="H31" s="323"/>
      <c r="I31" s="290"/>
      <c r="J31" s="290"/>
    </row>
    <row r="32" spans="1:10" ht="15.75" customHeight="1">
      <c r="B32" s="18" t="s">
        <v>34</v>
      </c>
      <c r="C32" s="288">
        <f>C31*$I$5/1000000</f>
        <v>3631.248</v>
      </c>
      <c r="D32" s="325"/>
      <c r="E32" s="288">
        <f>E31*$I$5/1000000</f>
        <v>3227.7759999999998</v>
      </c>
      <c r="F32" s="325"/>
      <c r="G32" s="288">
        <f>G31*$I$5/1000000</f>
        <v>0</v>
      </c>
      <c r="H32" s="288"/>
      <c r="I32" s="290"/>
      <c r="J32" s="290"/>
    </row>
    <row r="33" spans="2:11" ht="15.75" customHeight="1">
      <c r="B33" s="2" t="s">
        <v>35</v>
      </c>
      <c r="C33" s="289">
        <f>C30*C31</f>
        <v>54000</v>
      </c>
      <c r="D33" s="338"/>
      <c r="E33" s="289">
        <f>E30*E31</f>
        <v>48000</v>
      </c>
      <c r="F33" s="338"/>
      <c r="G33" s="289">
        <f>G30*G31</f>
        <v>0</v>
      </c>
      <c r="H33" s="289"/>
      <c r="I33" s="289">
        <f>C33+E33+G33</f>
        <v>102000</v>
      </c>
      <c r="J33" s="289"/>
    </row>
    <row r="34" spans="2:11" ht="15.75" customHeight="1">
      <c r="B34" s="1" t="s">
        <v>36</v>
      </c>
      <c r="C34" s="290"/>
      <c r="D34" s="293"/>
      <c r="E34" s="292">
        <f>IF(C33=0,"-",(C33+E33)/(C30+E30))</f>
        <v>1.7</v>
      </c>
      <c r="F34" s="325"/>
      <c r="G34" s="78"/>
      <c r="H34" s="78"/>
      <c r="I34" s="292">
        <f>IF(I33=0,"",I33/I30)</f>
        <v>1.7</v>
      </c>
      <c r="J34" s="292"/>
    </row>
    <row r="35" spans="2:11" ht="15.75" customHeight="1">
      <c r="B35" s="1" t="s">
        <v>37</v>
      </c>
      <c r="C35" s="294"/>
      <c r="D35" s="295"/>
      <c r="E35" s="291">
        <f>IF(E34="-","-",E34*$I$5/1000000)</f>
        <v>3429.5120000000002</v>
      </c>
      <c r="F35" s="337"/>
      <c r="G35" s="209"/>
      <c r="H35" s="209"/>
      <c r="I35" s="291">
        <f>IF(I34="","",I34*$I$5/1000000)</f>
        <v>3429.5120000000002</v>
      </c>
      <c r="J35" s="291"/>
    </row>
    <row r="36" spans="2:11" ht="15.75" customHeight="1"/>
    <row r="37" spans="2:11" ht="15.75" customHeight="1">
      <c r="B37" s="87" t="s">
        <v>189</v>
      </c>
      <c r="C37" s="286">
        <f>C31</f>
        <v>1.8</v>
      </c>
      <c r="D37" s="287"/>
      <c r="E37" s="79" t="e">
        <f>IF(C37&gt;B17,"Caution! &gt; Breakeven price!","")</f>
        <v>#REF!</v>
      </c>
      <c r="F37" s="6"/>
      <c r="G37" s="283" t="s">
        <v>225</v>
      </c>
      <c r="H37" s="283"/>
      <c r="I37" s="284" t="e">
        <f>Val_Models!C21</f>
        <v>#REF!</v>
      </c>
      <c r="J37" s="285"/>
    </row>
    <row r="38" spans="2:11" ht="15.75" customHeight="1">
      <c r="B38" s="87" t="s">
        <v>205</v>
      </c>
      <c r="C38" s="286">
        <f>E34</f>
        <v>1.7</v>
      </c>
      <c r="D38" s="287"/>
      <c r="E38" s="6"/>
      <c r="F38" s="6"/>
      <c r="G38" s="283" t="s">
        <v>204</v>
      </c>
      <c r="H38" s="283"/>
      <c r="I38" s="284" t="e">
        <f>Val_Models!C22</f>
        <v>#REF!</v>
      </c>
      <c r="J38" s="28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191</v>
      </c>
      <c r="C40" s="6"/>
      <c r="D40" s="6"/>
      <c r="E40" s="6"/>
      <c r="F40" s="6"/>
      <c r="G40" s="121" t="s">
        <v>74</v>
      </c>
      <c r="H40" s="84"/>
      <c r="I40" s="84"/>
      <c r="J40" s="84"/>
      <c r="K40" s="124"/>
    </row>
    <row r="41" spans="2:11" ht="15.75" customHeight="1">
      <c r="B41" s="3" t="s">
        <v>193</v>
      </c>
      <c r="C41" s="6"/>
      <c r="D41" s="6"/>
      <c r="E41" s="6"/>
      <c r="F41" s="54">
        <f>Qualitative_Analysis!E8</f>
        <v>0.52</v>
      </c>
      <c r="G41" s="77"/>
      <c r="H41" s="77"/>
      <c r="I41" s="77"/>
      <c r="J41" s="77"/>
    </row>
    <row r="42" spans="2:11" ht="15.75" customHeight="1">
      <c r="B42" s="3" t="s">
        <v>192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198</v>
      </c>
      <c r="C43" s="6"/>
      <c r="D43" s="6"/>
      <c r="E43" s="6"/>
      <c r="F43" s="157">
        <f>Qualitative_Analysis!E64</f>
        <v>0</v>
      </c>
      <c r="G43" s="77"/>
      <c r="H43" s="77"/>
      <c r="I43" s="77"/>
      <c r="J43" s="77"/>
    </row>
    <row r="44" spans="2:11" ht="15.75" customHeight="1">
      <c r="B44" s="3" t="s">
        <v>238</v>
      </c>
      <c r="C44" s="6"/>
      <c r="D44" s="6"/>
      <c r="E44" s="6"/>
      <c r="F44" s="157" t="e">
        <f>AVERAGE(Asset_Model!J33/4,1-Asset_Model!#REF!)</f>
        <v>#REF!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206</v>
      </c>
      <c r="F46" s="38" t="s">
        <v>207</v>
      </c>
      <c r="G46" s="6"/>
      <c r="H46" s="6"/>
      <c r="I46" s="6"/>
      <c r="J46" s="6"/>
    </row>
    <row r="47" spans="2:11" ht="15.75" customHeight="1">
      <c r="B47" s="3" t="s">
        <v>194</v>
      </c>
      <c r="C47" s="6"/>
      <c r="D47" s="6"/>
      <c r="E47" s="157" t="e">
        <f>I37/C31-1</f>
        <v>#REF!</v>
      </c>
      <c r="F47" s="157" t="e">
        <f>I37/C38-1</f>
        <v>#REF!</v>
      </c>
      <c r="G47" s="6"/>
      <c r="H47" s="6"/>
      <c r="I47" s="6"/>
      <c r="J47" s="212"/>
    </row>
    <row r="48" spans="2:11" ht="15.75" customHeight="1">
      <c r="B48" s="3" t="s">
        <v>195</v>
      </c>
      <c r="C48" s="6"/>
      <c r="D48" s="6"/>
      <c r="E48" s="157" t="e">
        <f>Val_Models!C22/C31-1</f>
        <v>#REF!</v>
      </c>
      <c r="F48" s="157" t="e">
        <f>Val_Models!C22/C38-1</f>
        <v>#REF!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197</v>
      </c>
      <c r="C50" s="6"/>
      <c r="D50" s="6"/>
      <c r="E50" s="54" t="e">
        <f>IF(E47&lt;=0,0,AVERAGE(F41:F44,0.5*(1+E47+E48-C16)))</f>
        <v>#REF!</v>
      </c>
      <c r="F50" s="157" t="e">
        <f>IF(F47&lt;=0,0,AVERAGE(F41:F44,0.5*(1+F47+F48-C16)))</f>
        <v>#REF!</v>
      </c>
      <c r="G50" s="77"/>
      <c r="H50" s="6"/>
      <c r="I50" s="6"/>
      <c r="J50" s="6"/>
    </row>
    <row r="51" spans="2:10" ht="15.75" customHeight="1">
      <c r="B51" s="3" t="s">
        <v>196</v>
      </c>
      <c r="C51" s="6"/>
      <c r="D51" s="66"/>
      <c r="E51" s="213" t="e">
        <f>IF(E48&gt;=0,100,E47/ABS(E48))</f>
        <v>#REF!</v>
      </c>
      <c r="F51" s="213" t="e">
        <f>IF(F48&gt;=0,100,F47/ABS(F48))</f>
        <v>#REF!</v>
      </c>
      <c r="G51" s="77"/>
      <c r="H51" s="6"/>
      <c r="I51" s="6"/>
      <c r="J51" s="6"/>
    </row>
    <row r="52" spans="2:10" ht="15.75" customHeight="1">
      <c r="B52" s="3" t="s">
        <v>208</v>
      </c>
      <c r="C52" s="6"/>
      <c r="D52" s="6"/>
      <c r="E52" s="211" t="e">
        <f>MAX(C16*2.5/E47,1)+IF(E47&lt;C16,100,0)+IF(J20=1,2/(1+E47+E48-C16),0)</f>
        <v>#REF!</v>
      </c>
      <c r="F52" s="211" t="e">
        <f>MAX(C16*2.5/F47,1)+IF(F47&lt;C16,100,0)+IF(D18&lt;0,100,0)+IF(J20=1,2/(1+F47+F48-C16),0)</f>
        <v>#REF!</v>
      </c>
      <c r="G52" s="156"/>
      <c r="H52" s="214"/>
      <c r="I52" s="214"/>
      <c r="J52" s="6"/>
    </row>
    <row r="53" spans="2:10" ht="15.75" customHeight="1">
      <c r="B53" s="3" t="s">
        <v>209</v>
      </c>
      <c r="C53" s="6"/>
      <c r="D53" s="6"/>
      <c r="E53" s="196" t="e">
        <f>MIN(MAX(E50-ABS((1-E50)/E51),0)/E52,H53)</f>
        <v>#REF!</v>
      </c>
      <c r="F53" s="196" t="e">
        <f>MIN(MAX(F50-ABS((1-F50)/F51),0)/F52,H53)</f>
        <v>#REF!</v>
      </c>
      <c r="G53" s="156" t="s">
        <v>199</v>
      </c>
      <c r="H53" s="157">
        <v>0.4</v>
      </c>
      <c r="I53" s="6"/>
      <c r="J53" s="6"/>
    </row>
    <row r="54" spans="2:10" ht="15.75" customHeight="1"/>
    <row r="55" spans="2:10" ht="15.75" customHeight="1">
      <c r="B55" s="17" t="s">
        <v>200</v>
      </c>
    </row>
    <row r="56" spans="2:10" ht="15.75" customHeight="1">
      <c r="B56" s="130" t="s">
        <v>201</v>
      </c>
    </row>
    <row r="57" spans="2:10" ht="15.75" customHeight="1">
      <c r="B57" s="3" t="s">
        <v>212</v>
      </c>
    </row>
    <row r="58" spans="2:10" ht="15.75" customHeight="1">
      <c r="B58" s="3" t="s">
        <v>211</v>
      </c>
    </row>
    <row r="59" spans="2:10" ht="15.75" customHeight="1"/>
    <row r="60" spans="2:10" ht="15.75" customHeight="1">
      <c r="B60" s="130" t="s">
        <v>202</v>
      </c>
    </row>
    <row r="61" spans="2:10" ht="15.75" customHeight="1">
      <c r="B61" s="3" t="s">
        <v>213</v>
      </c>
    </row>
    <row r="62" spans="2:10" ht="15.75" customHeight="1">
      <c r="B62" s="3" t="s">
        <v>214</v>
      </c>
    </row>
    <row r="63" spans="2:10" ht="15.75" customHeight="1"/>
    <row r="64" spans="2:10" ht="15.75" customHeight="1">
      <c r="B64" s="130" t="s">
        <v>270</v>
      </c>
    </row>
    <row r="65" spans="2:2" ht="15.75" customHeight="1">
      <c r="B65" s="3" t="s">
        <v>272</v>
      </c>
    </row>
    <row r="66" spans="2:2" ht="15.75" customHeight="1">
      <c r="B66" s="3" t="s">
        <v>271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17" priority="12" operator="lessThan">
      <formula>$B$18</formula>
    </cfRule>
  </conditionalFormatting>
  <conditionalFormatting sqref="B18">
    <cfRule type="cellIs" dxfId="16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5" priority="25" operator="lessThan">
      <formula>0</formula>
    </cfRule>
  </conditionalFormatting>
  <conditionalFormatting sqref="E14">
    <cfRule type="cellIs" dxfId="14" priority="17" operator="greaterThan">
      <formula>$B$16</formula>
    </cfRule>
  </conditionalFormatting>
  <conditionalFormatting sqref="E51:F51">
    <cfRule type="cellIs" dxfId="13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2" priority="13">
      <formula>LEN(TRIM(E28))=0</formula>
    </cfRule>
  </conditionalFormatting>
  <conditionalFormatting sqref="F16">
    <cfRule type="cellIs" dxfId="11" priority="20" operator="greaterThan">
      <formula>$B$16</formula>
    </cfRule>
  </conditionalFormatting>
  <conditionalFormatting sqref="G16">
    <cfRule type="cellIs" dxfId="10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7"/>
  <sheetViews>
    <sheetView showGridLines="0" zoomScaleNormal="100" workbookViewId="0">
      <selection activeCell="C6" sqref="C6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59">
        <v>44926</v>
      </c>
      <c r="D3" s="6"/>
      <c r="E3" s="95">
        <v>1</v>
      </c>
      <c r="F3" s="161">
        <f t="array" ref="F3">AVERAGE(C24:INDEX(C24:M24,1,E3))</f>
        <v>259140</v>
      </c>
      <c r="G3" s="6"/>
      <c r="H3" s="5"/>
      <c r="I3" s="6"/>
      <c r="J3" s="94"/>
      <c r="K3" s="6"/>
      <c r="L3" s="6"/>
      <c r="M3" s="6"/>
    </row>
    <row r="4" spans="1:14" ht="15.75" customHeight="1">
      <c r="A4" s="9"/>
      <c r="B4" s="5" t="s">
        <v>40</v>
      </c>
      <c r="C4" s="135">
        <v>1000000</v>
      </c>
      <c r="D4" s="6"/>
      <c r="E4" s="28">
        <f>E3</f>
        <v>1</v>
      </c>
      <c r="F4" s="160">
        <f>AVERAGE(C22:INDEX(C22:M22,1,E4))</f>
        <v>229612.5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09">
        <f>C3</f>
        <v>44926</v>
      </c>
      <c r="D6" s="110">
        <f>EOMONTH(EDATE(C6,-12),0)</f>
        <v>44561</v>
      </c>
      <c r="E6" s="110">
        <f t="shared" ref="E6:M6" si="0">EOMONTH(EDATE(D6,-12),0)</f>
        <v>44196</v>
      </c>
      <c r="F6" s="110">
        <f t="shared" si="0"/>
        <v>43830</v>
      </c>
      <c r="G6" s="110">
        <f t="shared" si="0"/>
        <v>43465</v>
      </c>
      <c r="H6" s="110">
        <f t="shared" si="0"/>
        <v>43100</v>
      </c>
      <c r="I6" s="110">
        <f t="shared" si="0"/>
        <v>42735</v>
      </c>
      <c r="J6" s="110">
        <f t="shared" si="0"/>
        <v>42369</v>
      </c>
      <c r="K6" s="110">
        <f t="shared" si="0"/>
        <v>42004</v>
      </c>
      <c r="L6" s="110">
        <f t="shared" si="0"/>
        <v>41639</v>
      </c>
      <c r="M6" s="110">
        <f t="shared" si="0"/>
        <v>41274</v>
      </c>
    </row>
    <row r="7" spans="1:14" ht="15.75" customHeight="1">
      <c r="A7" s="9"/>
      <c r="B7" s="145" t="s">
        <v>41</v>
      </c>
      <c r="C7" s="146">
        <f>IF(C9="","",SUM(C10:C14))</f>
        <v>725499</v>
      </c>
      <c r="D7" s="146">
        <f>IF(D9="","",SUM(D10:D14))</f>
        <v>721746</v>
      </c>
      <c r="E7" s="146" t="str">
        <f t="shared" ref="E7:M7" si="1">IF(E9="","",SUM(E10:E14))</f>
        <v/>
      </c>
      <c r="F7" s="146" t="str">
        <f t="shared" si="1"/>
        <v/>
      </c>
      <c r="G7" s="146" t="str">
        <f t="shared" si="1"/>
        <v/>
      </c>
      <c r="H7" s="146" t="str">
        <f t="shared" si="1"/>
        <v/>
      </c>
      <c r="I7" s="146" t="str">
        <f t="shared" si="1"/>
        <v/>
      </c>
      <c r="J7" s="146" t="str">
        <f t="shared" si="1"/>
        <v/>
      </c>
      <c r="K7" s="146" t="str">
        <f t="shared" si="1"/>
        <v/>
      </c>
      <c r="L7" s="146" t="str">
        <f t="shared" si="1"/>
        <v/>
      </c>
      <c r="M7" s="146" t="str">
        <f t="shared" si="1"/>
        <v/>
      </c>
      <c r="N7" s="6"/>
    </row>
    <row r="8" spans="1:14" ht="15.75" customHeight="1">
      <c r="A8" s="9"/>
      <c r="B8" s="141" t="s">
        <v>42</v>
      </c>
      <c r="C8" s="136">
        <f t="shared" ref="C8:L8" si="2">IF(D7="","",C7/D7-1)</f>
        <v>5.1998902661047897E-3</v>
      </c>
      <c r="D8" s="136" t="str">
        <f t="shared" si="2"/>
        <v/>
      </c>
      <c r="E8" s="136" t="str">
        <f t="shared" si="2"/>
        <v/>
      </c>
      <c r="F8" s="136" t="str">
        <f t="shared" si="2"/>
        <v/>
      </c>
      <c r="G8" s="136" t="str">
        <f t="shared" si="2"/>
        <v/>
      </c>
      <c r="H8" s="136" t="str">
        <f t="shared" si="2"/>
        <v/>
      </c>
      <c r="I8" s="136" t="str">
        <f t="shared" si="2"/>
        <v/>
      </c>
      <c r="J8" s="136" t="str">
        <f t="shared" si="2"/>
        <v/>
      </c>
      <c r="K8" s="136" t="str">
        <f t="shared" si="2"/>
        <v/>
      </c>
      <c r="L8" s="136" t="str">
        <f t="shared" si="2"/>
        <v/>
      </c>
      <c r="M8" s="136"/>
      <c r="N8" s="6"/>
    </row>
    <row r="9" spans="1:14" ht="15.75" customHeight="1">
      <c r="A9" s="9"/>
      <c r="B9" s="280" t="s">
        <v>281</v>
      </c>
      <c r="C9" s="51">
        <f>IF(C10="","",C10+C11)</f>
        <v>589966</v>
      </c>
      <c r="D9" s="51">
        <f>IF(D10="","",D10+D11)</f>
        <v>577987</v>
      </c>
      <c r="E9" s="51" t="str">
        <f t="shared" ref="E9:M9" si="3">IF(E10="","",E10+E11)</f>
        <v/>
      </c>
      <c r="F9" s="51" t="str">
        <f t="shared" si="3"/>
        <v/>
      </c>
      <c r="G9" s="51" t="str">
        <f t="shared" si="3"/>
        <v/>
      </c>
      <c r="H9" s="51" t="str">
        <f t="shared" si="3"/>
        <v/>
      </c>
      <c r="I9" s="51" t="str">
        <f t="shared" si="3"/>
        <v/>
      </c>
      <c r="J9" s="51" t="str">
        <f t="shared" si="3"/>
        <v/>
      </c>
      <c r="K9" s="51" t="str">
        <f t="shared" si="3"/>
        <v/>
      </c>
      <c r="L9" s="51" t="str">
        <f t="shared" si="3"/>
        <v/>
      </c>
      <c r="M9" s="51" t="str">
        <f t="shared" si="3"/>
        <v/>
      </c>
      <c r="N9" s="6"/>
    </row>
    <row r="10" spans="1:14" ht="15.75" customHeight="1">
      <c r="A10" s="9"/>
      <c r="B10" s="142" t="s">
        <v>280</v>
      </c>
      <c r="C10" s="179">
        <v>1108547</v>
      </c>
      <c r="D10" s="179">
        <v>1008014</v>
      </c>
      <c r="E10" s="179"/>
      <c r="F10" s="179"/>
      <c r="G10" s="179"/>
      <c r="H10" s="179"/>
      <c r="I10" s="179"/>
      <c r="J10" s="179"/>
      <c r="K10" s="179"/>
      <c r="L10" s="179"/>
      <c r="M10" s="179"/>
      <c r="N10" s="6"/>
    </row>
    <row r="11" spans="1:14" ht="15.75" customHeight="1">
      <c r="A11" s="9"/>
      <c r="B11" s="142" t="s">
        <v>157</v>
      </c>
      <c r="C11" s="179">
        <v>-518581</v>
      </c>
      <c r="D11" s="179">
        <v>-430027</v>
      </c>
      <c r="E11" s="179"/>
      <c r="F11" s="179"/>
      <c r="G11" s="179"/>
      <c r="H11" s="179"/>
      <c r="I11" s="179"/>
      <c r="J11" s="179"/>
      <c r="K11" s="179"/>
      <c r="L11" s="179"/>
      <c r="M11" s="179"/>
      <c r="N11" s="6"/>
    </row>
    <row r="12" spans="1:14" ht="15.75" customHeight="1">
      <c r="A12" s="9"/>
      <c r="B12" s="280" t="s">
        <v>282</v>
      </c>
      <c r="C12" s="147">
        <v>81282</v>
      </c>
      <c r="D12" s="147">
        <v>80329</v>
      </c>
      <c r="E12" s="147"/>
      <c r="F12" s="147"/>
      <c r="G12" s="147"/>
      <c r="H12" s="147"/>
      <c r="I12" s="147"/>
      <c r="J12" s="147"/>
      <c r="K12" s="147"/>
      <c r="L12" s="147"/>
      <c r="M12" s="147"/>
      <c r="N12" s="6"/>
    </row>
    <row r="13" spans="1:14" ht="15.75" customHeight="1">
      <c r="A13" s="9"/>
      <c r="B13" s="280" t="s">
        <v>283</v>
      </c>
      <c r="C13" s="147">
        <f>5519+5909+160</f>
        <v>11588</v>
      </c>
      <c r="D13" s="147">
        <f>14241+15035+11</f>
        <v>29287</v>
      </c>
      <c r="E13" s="147"/>
      <c r="F13" s="147"/>
      <c r="G13" s="147"/>
      <c r="H13" s="147"/>
      <c r="I13" s="147"/>
      <c r="J13" s="147"/>
      <c r="K13" s="147"/>
      <c r="L13" s="147"/>
      <c r="M13" s="147"/>
      <c r="N13" s="6"/>
    </row>
    <row r="14" spans="1:14" ht="15.75" customHeight="1">
      <c r="A14" s="9"/>
      <c r="B14" s="280" t="s">
        <v>284</v>
      </c>
      <c r="C14" s="147">
        <v>42663</v>
      </c>
      <c r="D14" s="147">
        <v>34143</v>
      </c>
      <c r="E14" s="147"/>
      <c r="F14" s="147"/>
      <c r="G14" s="147"/>
      <c r="H14" s="147"/>
      <c r="I14" s="147"/>
      <c r="J14" s="147"/>
      <c r="K14" s="147"/>
      <c r="L14" s="147"/>
      <c r="M14" s="147"/>
      <c r="N14" s="6"/>
    </row>
    <row r="15" spans="1:14" ht="15.75" customHeight="1">
      <c r="A15" s="9"/>
      <c r="B15" s="141" t="s">
        <v>44</v>
      </c>
      <c r="C15" s="135">
        <v>274023</v>
      </c>
      <c r="D15" s="135">
        <v>260275</v>
      </c>
      <c r="E15" s="135"/>
      <c r="F15" s="135"/>
      <c r="G15" s="135"/>
      <c r="H15" s="135"/>
      <c r="I15" s="135"/>
      <c r="J15" s="135"/>
      <c r="K15" s="135"/>
      <c r="L15" s="135"/>
      <c r="M15" s="135"/>
      <c r="N15" s="6"/>
    </row>
    <row r="16" spans="1:14" ht="15.75" customHeight="1">
      <c r="A16" s="9"/>
      <c r="B16" s="141" t="s">
        <v>328</v>
      </c>
      <c r="C16" s="135">
        <v>145267</v>
      </c>
      <c r="D16" s="135">
        <v>165886</v>
      </c>
      <c r="E16" s="135"/>
      <c r="F16" s="135"/>
      <c r="G16" s="135"/>
      <c r="H16" s="135"/>
      <c r="I16" s="135"/>
      <c r="J16" s="135"/>
      <c r="K16" s="135"/>
      <c r="L16" s="135"/>
      <c r="M16" s="135"/>
      <c r="N16" s="6"/>
    </row>
    <row r="17" spans="1:14" ht="15.75" customHeight="1">
      <c r="A17" s="9"/>
      <c r="B17" s="141" t="s">
        <v>329</v>
      </c>
      <c r="C17" s="135">
        <v>59</v>
      </c>
      <c r="D17" s="135">
        <v>114</v>
      </c>
      <c r="E17" s="135"/>
      <c r="F17" s="135"/>
      <c r="G17" s="135"/>
      <c r="H17" s="135"/>
      <c r="I17" s="135"/>
      <c r="J17" s="135"/>
      <c r="K17" s="135"/>
      <c r="L17" s="135"/>
      <c r="M17" s="135"/>
      <c r="N17" s="6"/>
    </row>
    <row r="18" spans="1:14" ht="15.75" customHeight="1">
      <c r="A18" s="9"/>
      <c r="B18" s="141" t="s">
        <v>45</v>
      </c>
      <c r="C18" s="136">
        <f t="shared" ref="C18:M18" si="4">IF(C7="","",C15/C7)</f>
        <v>0.37770279490392128</v>
      </c>
      <c r="D18" s="136">
        <f t="shared" si="4"/>
        <v>0.36061855555832661</v>
      </c>
      <c r="E18" s="136" t="str">
        <f t="shared" si="4"/>
        <v/>
      </c>
      <c r="F18" s="136" t="str">
        <f t="shared" si="4"/>
        <v/>
      </c>
      <c r="G18" s="136" t="str">
        <f t="shared" si="4"/>
        <v/>
      </c>
      <c r="H18" s="136" t="str">
        <f t="shared" si="4"/>
        <v/>
      </c>
      <c r="I18" s="136" t="str">
        <f t="shared" si="4"/>
        <v/>
      </c>
      <c r="J18" s="136" t="str">
        <f t="shared" si="4"/>
        <v/>
      </c>
      <c r="K18" s="136" t="str">
        <f t="shared" si="4"/>
        <v/>
      </c>
      <c r="L18" s="136" t="str">
        <f t="shared" si="4"/>
        <v/>
      </c>
      <c r="M18" s="136" t="str">
        <f t="shared" si="4"/>
        <v/>
      </c>
      <c r="N18" s="6"/>
    </row>
    <row r="19" spans="1:14" ht="15.75" customHeight="1">
      <c r="A19" s="9"/>
      <c r="B19" s="141" t="s">
        <v>46</v>
      </c>
      <c r="C19" s="136">
        <f t="shared" ref="C19:M19" si="5">IF(C20="","",C20/C7)</f>
        <v>0.42198541969044756</v>
      </c>
      <c r="D19" s="136">
        <f t="shared" si="5"/>
        <v>0.40938363357746355</v>
      </c>
      <c r="E19" s="136" t="str">
        <f t="shared" si="5"/>
        <v/>
      </c>
      <c r="F19" s="136" t="str">
        <f t="shared" si="5"/>
        <v/>
      </c>
      <c r="G19" s="136" t="str">
        <f t="shared" si="5"/>
        <v/>
      </c>
      <c r="H19" s="136" t="str">
        <f t="shared" si="5"/>
        <v/>
      </c>
      <c r="I19" s="136" t="str">
        <f t="shared" si="5"/>
        <v/>
      </c>
      <c r="J19" s="136" t="str">
        <f t="shared" si="5"/>
        <v/>
      </c>
      <c r="K19" s="136" t="str">
        <f t="shared" si="5"/>
        <v/>
      </c>
      <c r="L19" s="136" t="str">
        <f t="shared" si="5"/>
        <v/>
      </c>
      <c r="M19" s="136" t="str">
        <f t="shared" si="5"/>
        <v/>
      </c>
      <c r="N19" s="6"/>
    </row>
    <row r="20" spans="1:14" ht="15.75" customHeight="1">
      <c r="A20" s="9"/>
      <c r="B20" s="141" t="s">
        <v>47</v>
      </c>
      <c r="C20" s="51">
        <f>IF(C7="","",C7-C15-C16-C17)</f>
        <v>306150</v>
      </c>
      <c r="D20" s="51">
        <f>IF(D7="","",D7-D15-D16-D17)</f>
        <v>295471</v>
      </c>
      <c r="E20" s="51" t="str">
        <f t="shared" ref="E20:M20" si="6">IF(E7="","",E7-E15-E16-E17)</f>
        <v/>
      </c>
      <c r="F20" s="51" t="str">
        <f t="shared" si="6"/>
        <v/>
      </c>
      <c r="G20" s="51" t="str">
        <f t="shared" si="6"/>
        <v/>
      </c>
      <c r="H20" s="51" t="str">
        <f t="shared" si="6"/>
        <v/>
      </c>
      <c r="I20" s="51" t="str">
        <f t="shared" si="6"/>
        <v/>
      </c>
      <c r="J20" s="51" t="str">
        <f t="shared" si="6"/>
        <v/>
      </c>
      <c r="K20" s="51" t="str">
        <f t="shared" si="6"/>
        <v/>
      </c>
      <c r="L20" s="51" t="str">
        <f t="shared" si="6"/>
        <v/>
      </c>
      <c r="M20" s="51" t="str">
        <f t="shared" si="6"/>
        <v/>
      </c>
      <c r="N20" s="6"/>
    </row>
    <row r="21" spans="1:14" ht="15.75" customHeight="1">
      <c r="A21" s="9"/>
      <c r="B21" s="141" t="s">
        <v>48</v>
      </c>
      <c r="C21" s="136">
        <f>IF(D20="","",IF(ABS(C20+D20)=ABS(C20)+ABS(D20),IF(C20&lt;0,-1,1)*(C20-D20)/D20,"Turn"))</f>
        <v>3.6142294844502508E-2</v>
      </c>
      <c r="D21" s="136" t="str">
        <f t="shared" ref="D21:M21" si="7">IF(E20="","",IF(ABS(D20+E20)=ABS(D20)+ABS(E20),IF(D20&lt;0,-1,1)*(D20-E20)/E20,"Turn"))</f>
        <v/>
      </c>
      <c r="E21" s="136" t="str">
        <f t="shared" si="7"/>
        <v/>
      </c>
      <c r="F21" s="136" t="str">
        <f t="shared" si="7"/>
        <v/>
      </c>
      <c r="G21" s="136" t="str">
        <f t="shared" si="7"/>
        <v/>
      </c>
      <c r="H21" s="136" t="str">
        <f t="shared" si="7"/>
        <v/>
      </c>
      <c r="I21" s="136" t="str">
        <f t="shared" si="7"/>
        <v/>
      </c>
      <c r="J21" s="136" t="str">
        <f t="shared" si="7"/>
        <v/>
      </c>
      <c r="K21" s="136" t="str">
        <f t="shared" si="7"/>
        <v/>
      </c>
      <c r="L21" s="136" t="str">
        <f t="shared" si="7"/>
        <v/>
      </c>
      <c r="M21" s="136" t="str">
        <f t="shared" si="7"/>
        <v/>
      </c>
      <c r="N21" s="6"/>
    </row>
    <row r="22" spans="1:14" ht="15.75" customHeight="1">
      <c r="A22" s="9"/>
      <c r="B22" s="141" t="s">
        <v>49</v>
      </c>
      <c r="C22" s="51">
        <f>IF(C20="","",C20*(1-Projections!$F$18))</f>
        <v>229612.5</v>
      </c>
      <c r="D22" s="51">
        <f>IF(D20="","",D20*(1-Projections!$F$18))</f>
        <v>221603.25</v>
      </c>
      <c r="E22" s="51" t="str">
        <f>IF(E20="","",E20*(1-Projections!$F$18))</f>
        <v/>
      </c>
      <c r="F22" s="51" t="str">
        <f>IF(F20="","",F20*(1-Projections!$F$18))</f>
        <v/>
      </c>
      <c r="G22" s="51" t="str">
        <f>IF(G20="","",G20*(1-Projections!$F$18))</f>
        <v/>
      </c>
      <c r="H22" s="51" t="str">
        <f>IF(H20="","",H20*(1-Projections!$F$18))</f>
        <v/>
      </c>
      <c r="I22" s="51" t="str">
        <f>IF(I20="","",I20*(1-Projections!$F$18))</f>
        <v/>
      </c>
      <c r="J22" s="51" t="str">
        <f>IF(J20="","",J20*(1-Projections!$F$18))</f>
        <v/>
      </c>
      <c r="K22" s="51" t="str">
        <f>IF(K20="","",K20*(1-Projections!$F$18))</f>
        <v/>
      </c>
      <c r="L22" s="51" t="str">
        <f>IF(L20="","",L20*(1-Projections!$F$18))</f>
        <v/>
      </c>
      <c r="M22" s="51" t="str">
        <f>IF(M20="","",M20*(1-Projections!$F$18))</f>
        <v/>
      </c>
      <c r="N22" s="6"/>
    </row>
    <row r="23" spans="1:14" ht="15.75" customHeight="1">
      <c r="A23" s="9"/>
      <c r="B23" s="141" t="s">
        <v>50</v>
      </c>
      <c r="C23" s="136">
        <f t="shared" ref="C23:M23" si="8">IF(C7="","",C22/C7)</f>
        <v>0.31648906476783567</v>
      </c>
      <c r="D23" s="136">
        <f t="shared" si="8"/>
        <v>0.30703772518309763</v>
      </c>
      <c r="E23" s="136" t="str">
        <f t="shared" si="8"/>
        <v/>
      </c>
      <c r="F23" s="136" t="str">
        <f t="shared" si="8"/>
        <v/>
      </c>
      <c r="G23" s="136" t="str">
        <f t="shared" si="8"/>
        <v/>
      </c>
      <c r="H23" s="136" t="str">
        <f t="shared" si="8"/>
        <v/>
      </c>
      <c r="I23" s="136" t="str">
        <f t="shared" si="8"/>
        <v/>
      </c>
      <c r="J23" s="136" t="str">
        <f t="shared" si="8"/>
        <v/>
      </c>
      <c r="K23" s="136" t="str">
        <f t="shared" si="8"/>
        <v/>
      </c>
      <c r="L23" s="136" t="str">
        <f t="shared" si="8"/>
        <v/>
      </c>
      <c r="M23" s="136" t="str">
        <f t="shared" si="8"/>
        <v/>
      </c>
      <c r="N23" s="6"/>
    </row>
    <row r="24" spans="1:14" ht="15.75" customHeight="1">
      <c r="A24" s="9"/>
      <c r="B24" s="141" t="s">
        <v>51</v>
      </c>
      <c r="C24" s="135">
        <v>259140</v>
      </c>
      <c r="D24" s="135">
        <v>241936</v>
      </c>
      <c r="E24" s="135"/>
      <c r="F24" s="135"/>
      <c r="G24" s="135"/>
      <c r="H24" s="135"/>
      <c r="I24" s="135"/>
      <c r="J24" s="135"/>
      <c r="K24" s="135"/>
      <c r="L24" s="135"/>
      <c r="M24" s="135"/>
      <c r="N24" s="6"/>
    </row>
    <row r="25" spans="1:14" ht="15.75" customHeight="1">
      <c r="A25" s="9"/>
      <c r="B25" s="141" t="s">
        <v>164</v>
      </c>
      <c r="C25" s="136">
        <f>IF(D24="","",IF(ABS(C24+D24)=ABS(C24)+ABS(D24),IF(C24&lt;0,-1,1)*(C24-D24)/D24,"Turn"))</f>
        <v>7.1109714965941401E-2</v>
      </c>
      <c r="D25" s="136" t="str">
        <f t="shared" ref="D25:M25" si="9">IF(E24="","",IF(ABS(D24+E24)=ABS(D24)+ABS(E24),IF(D24&lt;0,-1,1)*(D24-E24)/E24,"Turn"))</f>
        <v/>
      </c>
      <c r="E25" s="136" t="str">
        <f t="shared" si="9"/>
        <v/>
      </c>
      <c r="F25" s="136" t="str">
        <f t="shared" si="9"/>
        <v/>
      </c>
      <c r="G25" s="136" t="str">
        <f t="shared" si="9"/>
        <v/>
      </c>
      <c r="H25" s="136" t="str">
        <f t="shared" si="9"/>
        <v/>
      </c>
      <c r="I25" s="136" t="str">
        <f t="shared" si="9"/>
        <v/>
      </c>
      <c r="J25" s="136" t="str">
        <f t="shared" si="9"/>
        <v/>
      </c>
      <c r="K25" s="136" t="str">
        <f t="shared" si="9"/>
        <v/>
      </c>
      <c r="L25" s="136" t="str">
        <f t="shared" si="9"/>
        <v/>
      </c>
      <c r="M25" s="136" t="str">
        <f t="shared" si="9"/>
        <v/>
      </c>
      <c r="N25" s="6"/>
    </row>
    <row r="26" spans="1:14" ht="15.75" customHeight="1">
      <c r="A26" s="9"/>
      <c r="B26" s="141" t="s">
        <v>262</v>
      </c>
      <c r="C26" s="137">
        <v>33927533</v>
      </c>
      <c r="D26" s="135">
        <v>29069155</v>
      </c>
      <c r="E26" s="135"/>
      <c r="F26" s="135"/>
      <c r="G26" s="135"/>
      <c r="H26" s="135"/>
      <c r="I26" s="135"/>
      <c r="J26" s="135"/>
      <c r="K26" s="135"/>
      <c r="L26" s="135"/>
      <c r="M26" s="135"/>
      <c r="N26" s="6"/>
    </row>
    <row r="27" spans="1:14" ht="15.75" customHeight="1">
      <c r="A27" s="9"/>
      <c r="B27" s="141" t="s">
        <v>190</v>
      </c>
      <c r="C27" s="137">
        <v>31253082</v>
      </c>
      <c r="D27" s="135">
        <v>26647796</v>
      </c>
      <c r="E27" s="135"/>
      <c r="F27" s="135"/>
      <c r="G27" s="135"/>
      <c r="H27" s="135"/>
      <c r="I27" s="135"/>
      <c r="J27" s="135"/>
      <c r="K27" s="135"/>
      <c r="L27" s="135"/>
      <c r="M27" s="135"/>
      <c r="N27" s="6"/>
    </row>
    <row r="28" spans="1:14" ht="15.75" customHeight="1">
      <c r="A28" s="9"/>
      <c r="B28" s="141" t="s">
        <v>330</v>
      </c>
      <c r="C28" s="137">
        <v>25121040</v>
      </c>
      <c r="D28" s="135">
        <v>21907127</v>
      </c>
      <c r="E28" s="135">
        <v>20372901</v>
      </c>
      <c r="F28" s="135">
        <v>18849155</v>
      </c>
      <c r="G28" s="135">
        <v>17602056</v>
      </c>
      <c r="H28" s="135"/>
      <c r="I28" s="135"/>
      <c r="J28" s="135"/>
      <c r="K28" s="135"/>
      <c r="L28" s="135"/>
      <c r="M28" s="135"/>
      <c r="N28" s="6"/>
    </row>
    <row r="29" spans="1:14" ht="15.75" customHeight="1">
      <c r="A29" s="9"/>
      <c r="B29" s="141" t="s">
        <v>53</v>
      </c>
      <c r="C29" s="137">
        <v>2674451</v>
      </c>
      <c r="D29" s="135">
        <v>2421359</v>
      </c>
      <c r="E29" s="135"/>
      <c r="F29" s="135"/>
      <c r="G29" s="135"/>
      <c r="H29" s="135"/>
      <c r="I29" s="135"/>
      <c r="J29" s="135"/>
      <c r="K29" s="135"/>
      <c r="L29" s="135"/>
      <c r="M29" s="135"/>
      <c r="N29" s="6"/>
    </row>
    <row r="30" spans="1:14" ht="15.75" customHeight="1">
      <c r="A30" s="9"/>
      <c r="B30" s="142" t="s">
        <v>138</v>
      </c>
      <c r="C30" s="139">
        <v>2668412</v>
      </c>
      <c r="D30" s="138">
        <v>2414605</v>
      </c>
      <c r="E30" s="138"/>
      <c r="F30" s="138"/>
      <c r="G30" s="138"/>
      <c r="H30" s="138"/>
      <c r="I30" s="138"/>
      <c r="J30" s="138"/>
      <c r="K30" s="138"/>
      <c r="L30" s="138"/>
      <c r="M30" s="138"/>
      <c r="N30" s="6"/>
    </row>
    <row r="31" spans="1:14" ht="15.75" customHeight="1">
      <c r="A31" s="9"/>
      <c r="B31" s="143" t="s">
        <v>148</v>
      </c>
      <c r="C31" s="274">
        <v>1705633</v>
      </c>
      <c r="D31" s="275">
        <v>1124762</v>
      </c>
      <c r="E31" s="275"/>
      <c r="F31" s="275"/>
      <c r="G31" s="275"/>
      <c r="H31" s="275"/>
      <c r="I31" s="275"/>
      <c r="J31" s="275"/>
      <c r="K31" s="275"/>
      <c r="L31" s="275"/>
      <c r="M31" s="275"/>
      <c r="N31" s="6"/>
    </row>
    <row r="32" spans="1:14" ht="15.75" customHeight="1">
      <c r="A32" s="9"/>
      <c r="B32" s="30" t="s">
        <v>54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9"/>
      <c r="B33" s="145" t="s">
        <v>158</v>
      </c>
      <c r="C33" s="149">
        <v>87681</v>
      </c>
      <c r="D33" s="149">
        <v>78677</v>
      </c>
      <c r="E33" s="149"/>
      <c r="F33" s="149"/>
      <c r="G33" s="149"/>
      <c r="H33" s="149"/>
      <c r="I33" s="149"/>
      <c r="J33" s="149"/>
      <c r="K33" s="149"/>
      <c r="L33" s="149"/>
      <c r="M33" s="149"/>
      <c r="N33" s="6"/>
    </row>
    <row r="34" spans="1:14" ht="15.75" customHeight="1">
      <c r="A34" s="9"/>
      <c r="B34" s="141" t="s">
        <v>55</v>
      </c>
      <c r="C34" s="147">
        <v>0</v>
      </c>
      <c r="D34" s="147">
        <v>0</v>
      </c>
      <c r="E34" s="147"/>
      <c r="F34" s="147"/>
      <c r="G34" s="147"/>
      <c r="H34" s="147"/>
      <c r="I34" s="147"/>
      <c r="J34" s="147"/>
      <c r="K34" s="147"/>
      <c r="L34" s="147"/>
      <c r="M34" s="147"/>
      <c r="N34" s="6"/>
    </row>
    <row r="35" spans="1:14" ht="15.75" customHeight="1">
      <c r="A35" s="9"/>
      <c r="B35" s="141" t="s">
        <v>134</v>
      </c>
      <c r="C35" s="148">
        <f t="shared" ref="C35:M35" si="10">IF(C33="","",C33*$C$4/Common_Shares)</f>
        <v>43.463239084744416</v>
      </c>
      <c r="D35" s="148">
        <f t="shared" si="10"/>
        <v>38.99998017210612</v>
      </c>
      <c r="E35" s="148" t="str">
        <f t="shared" si="10"/>
        <v/>
      </c>
      <c r="F35" s="148" t="str">
        <f t="shared" si="10"/>
        <v/>
      </c>
      <c r="G35" s="148" t="str">
        <f t="shared" si="10"/>
        <v/>
      </c>
      <c r="H35" s="148" t="str">
        <f t="shared" si="10"/>
        <v/>
      </c>
      <c r="I35" s="148" t="str">
        <f t="shared" si="10"/>
        <v/>
      </c>
      <c r="J35" s="148" t="str">
        <f t="shared" si="10"/>
        <v/>
      </c>
      <c r="K35" s="148" t="str">
        <f t="shared" si="10"/>
        <v/>
      </c>
      <c r="L35" s="148" t="str">
        <f t="shared" si="10"/>
        <v/>
      </c>
      <c r="M35" s="148" t="str">
        <f t="shared" si="10"/>
        <v/>
      </c>
      <c r="N35" s="6"/>
    </row>
    <row r="36" spans="1:14" ht="15.75" customHeight="1">
      <c r="A36" s="9"/>
      <c r="B36" s="143" t="s">
        <v>135</v>
      </c>
      <c r="C36" s="150">
        <f t="shared" ref="C36:M36" si="11">IF(C34="","",C34*$C$4/Common_Shares)</f>
        <v>0</v>
      </c>
      <c r="D36" s="150">
        <f t="shared" si="11"/>
        <v>0</v>
      </c>
      <c r="E36" s="150" t="str">
        <f t="shared" si="11"/>
        <v/>
      </c>
      <c r="F36" s="150" t="str">
        <f t="shared" si="11"/>
        <v/>
      </c>
      <c r="G36" s="150" t="str">
        <f t="shared" si="11"/>
        <v/>
      </c>
      <c r="H36" s="150" t="str">
        <f t="shared" si="11"/>
        <v/>
      </c>
      <c r="I36" s="150" t="str">
        <f t="shared" si="11"/>
        <v/>
      </c>
      <c r="J36" s="150" t="str">
        <f t="shared" si="11"/>
        <v/>
      </c>
      <c r="K36" s="150" t="str">
        <f t="shared" si="11"/>
        <v/>
      </c>
      <c r="L36" s="150" t="str">
        <f t="shared" si="11"/>
        <v/>
      </c>
      <c r="M36" s="150" t="str">
        <f t="shared" si="11"/>
        <v/>
      </c>
      <c r="N36" s="6"/>
    </row>
    <row r="37" spans="1:14" ht="15.75" customHeight="1">
      <c r="A37" s="9"/>
      <c r="B37" s="55" t="s">
        <v>56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>
      <c r="A38" s="9"/>
      <c r="B38" s="145" t="s">
        <v>248</v>
      </c>
      <c r="C38" s="152">
        <f t="shared" ref="C38:M38" si="12">IF(C30="","",(C26-C30)/C26)</f>
        <v>0.92134966017128328</v>
      </c>
      <c r="D38" s="152">
        <f t="shared" si="12"/>
        <v>0.91693583800423506</v>
      </c>
      <c r="E38" s="152" t="str">
        <f t="shared" si="12"/>
        <v/>
      </c>
      <c r="F38" s="152" t="str">
        <f t="shared" si="12"/>
        <v/>
      </c>
      <c r="G38" s="152" t="str">
        <f t="shared" si="12"/>
        <v/>
      </c>
      <c r="H38" s="152" t="str">
        <f t="shared" si="12"/>
        <v/>
      </c>
      <c r="I38" s="152" t="str">
        <f t="shared" si="12"/>
        <v/>
      </c>
      <c r="J38" s="152" t="str">
        <f t="shared" si="12"/>
        <v/>
      </c>
      <c r="K38" s="152" t="str">
        <f t="shared" si="12"/>
        <v/>
      </c>
      <c r="L38" s="152" t="str">
        <f t="shared" si="12"/>
        <v/>
      </c>
      <c r="M38" s="152" t="str">
        <f t="shared" si="12"/>
        <v/>
      </c>
      <c r="N38" s="6"/>
    </row>
    <row r="39" spans="1:14" ht="15.75" customHeight="1">
      <c r="A39" s="9"/>
      <c r="B39" s="141" t="s">
        <v>332</v>
      </c>
      <c r="C39" s="136">
        <f>IF(C7="","",C9/C7)</f>
        <v>0.8131865102501864</v>
      </c>
      <c r="D39" s="136">
        <f>IF(D7="","",D9/D7)</f>
        <v>0.80081773920465094</v>
      </c>
      <c r="E39" s="136" t="str">
        <f t="shared" ref="E39:M39" si="13">IF(E7="","",E9/E7)</f>
        <v/>
      </c>
      <c r="F39" s="136" t="str">
        <f t="shared" si="13"/>
        <v/>
      </c>
      <c r="G39" s="136" t="str">
        <f t="shared" si="13"/>
        <v/>
      </c>
      <c r="H39" s="136" t="str">
        <f t="shared" si="13"/>
        <v/>
      </c>
      <c r="I39" s="136" t="str">
        <f t="shared" si="13"/>
        <v/>
      </c>
      <c r="J39" s="136" t="str">
        <f t="shared" si="13"/>
        <v/>
      </c>
      <c r="K39" s="136" t="str">
        <f t="shared" si="13"/>
        <v/>
      </c>
      <c r="L39" s="136" t="str">
        <f t="shared" si="13"/>
        <v/>
      </c>
      <c r="M39" s="136" t="str">
        <f t="shared" si="13"/>
        <v/>
      </c>
      <c r="N39" s="6"/>
    </row>
    <row r="40" spans="1:14" ht="15.75" customHeight="1">
      <c r="A40" s="9"/>
      <c r="B40" s="141" t="s">
        <v>333</v>
      </c>
      <c r="C40" s="136">
        <f>IF(C9="","",IF(C9&lt;=0,"-",C9/C28))</f>
        <v>2.3484935337072032E-2</v>
      </c>
      <c r="D40" s="136">
        <f>IF(D9="","",IF(D9&lt;=0,"-",D9/D28))</f>
        <v>2.6383514369547407E-2</v>
      </c>
      <c r="E40" s="136" t="str">
        <f t="shared" ref="E40:M40" si="14">IF(E9="","",IF(E9&lt;=0,"-",E9/E28))</f>
        <v/>
      </c>
      <c r="F40" s="136" t="str">
        <f t="shared" si="14"/>
        <v/>
      </c>
      <c r="G40" s="136" t="str">
        <f t="shared" si="14"/>
        <v/>
      </c>
      <c r="H40" s="136" t="str">
        <f t="shared" si="14"/>
        <v/>
      </c>
      <c r="I40" s="136" t="str">
        <f t="shared" si="14"/>
        <v/>
      </c>
      <c r="J40" s="136" t="str">
        <f t="shared" si="14"/>
        <v/>
      </c>
      <c r="K40" s="136" t="str">
        <f t="shared" si="14"/>
        <v/>
      </c>
      <c r="L40" s="136" t="str">
        <f t="shared" si="14"/>
        <v/>
      </c>
      <c r="M40" s="136" t="str">
        <f t="shared" si="14"/>
        <v/>
      </c>
      <c r="N40" s="6"/>
    </row>
    <row r="41" spans="1:14" ht="15.75" customHeight="1">
      <c r="A41" s="9"/>
      <c r="B41" s="141" t="s">
        <v>334</v>
      </c>
      <c r="C41" s="136">
        <f>IF(C7="","",C24/C7)</f>
        <v>0.35718863844057674</v>
      </c>
      <c r="D41" s="136">
        <f>IF(D7="","",D24/D7)</f>
        <v>0.33520933957375587</v>
      </c>
      <c r="E41" s="136" t="str">
        <f t="shared" ref="E41:M41" si="15">IF(E7="","",E24/E7)</f>
        <v/>
      </c>
      <c r="F41" s="136" t="str">
        <f t="shared" si="15"/>
        <v/>
      </c>
      <c r="G41" s="136" t="str">
        <f t="shared" si="15"/>
        <v/>
      </c>
      <c r="H41" s="136" t="str">
        <f t="shared" si="15"/>
        <v/>
      </c>
      <c r="I41" s="136" t="str">
        <f t="shared" si="15"/>
        <v/>
      </c>
      <c r="J41" s="136" t="str">
        <f t="shared" si="15"/>
        <v/>
      </c>
      <c r="K41" s="136" t="str">
        <f t="shared" si="15"/>
        <v/>
      </c>
      <c r="L41" s="136" t="str">
        <f t="shared" si="15"/>
        <v/>
      </c>
      <c r="M41" s="136" t="str">
        <f t="shared" si="15"/>
        <v/>
      </c>
      <c r="N41" s="6"/>
    </row>
    <row r="42" spans="1:14" ht="15.75" customHeight="1">
      <c r="A42" s="9"/>
      <c r="B42" s="143" t="s">
        <v>331</v>
      </c>
      <c r="C42" s="153">
        <f>IF(C26="","",C26/C30)</f>
        <v>12.714503232634241</v>
      </c>
      <c r="D42" s="153">
        <f>IF(D26="","",D26/D30)</f>
        <v>12.038886277465673</v>
      </c>
      <c r="E42" s="153" t="str">
        <f t="shared" ref="E42:M42" si="16">IF(E26="","",E26/E30)</f>
        <v/>
      </c>
      <c r="F42" s="153" t="str">
        <f t="shared" si="16"/>
        <v/>
      </c>
      <c r="G42" s="153" t="str">
        <f t="shared" si="16"/>
        <v/>
      </c>
      <c r="H42" s="153" t="str">
        <f t="shared" si="16"/>
        <v/>
      </c>
      <c r="I42" s="153" t="str">
        <f t="shared" si="16"/>
        <v/>
      </c>
      <c r="J42" s="153" t="str">
        <f t="shared" si="16"/>
        <v/>
      </c>
      <c r="K42" s="153" t="str">
        <f t="shared" si="16"/>
        <v/>
      </c>
      <c r="L42" s="153" t="str">
        <f t="shared" si="16"/>
        <v/>
      </c>
      <c r="M42" s="153" t="str">
        <f t="shared" si="16"/>
        <v/>
      </c>
      <c r="N42" s="6"/>
    </row>
    <row r="43" spans="1:14" ht="15.75" customHeight="1">
      <c r="A43" s="9"/>
      <c r="B43" s="133" t="s">
        <v>217</v>
      </c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6"/>
    </row>
    <row r="44" spans="1:14" ht="15.75" customHeight="1">
      <c r="A44" s="9"/>
      <c r="B44" s="145" t="s">
        <v>218</v>
      </c>
      <c r="C44" s="152">
        <f t="shared" ref="C44:M44" si="17">C19</f>
        <v>0.42198541969044756</v>
      </c>
      <c r="D44" s="152">
        <f t="shared" si="17"/>
        <v>0.40938363357746355</v>
      </c>
      <c r="E44" s="152" t="str">
        <f t="shared" si="17"/>
        <v/>
      </c>
      <c r="F44" s="152" t="str">
        <f t="shared" si="17"/>
        <v/>
      </c>
      <c r="G44" s="152" t="str">
        <f t="shared" si="17"/>
        <v/>
      </c>
      <c r="H44" s="152" t="str">
        <f t="shared" si="17"/>
        <v/>
      </c>
      <c r="I44" s="152" t="str">
        <f t="shared" si="17"/>
        <v/>
      </c>
      <c r="J44" s="152" t="str">
        <f t="shared" si="17"/>
        <v/>
      </c>
      <c r="K44" s="152" t="str">
        <f t="shared" si="17"/>
        <v/>
      </c>
      <c r="L44" s="152" t="str">
        <f t="shared" si="17"/>
        <v/>
      </c>
      <c r="M44" s="152" t="str">
        <f t="shared" si="17"/>
        <v/>
      </c>
      <c r="N44" s="6"/>
    </row>
    <row r="45" spans="1:14" ht="15.75" customHeight="1">
      <c r="A45" s="9"/>
      <c r="B45" s="141" t="s">
        <v>219</v>
      </c>
      <c r="C45" s="136">
        <f>C7/C26</f>
        <v>2.1383782899864839E-2</v>
      </c>
      <c r="D45" s="136">
        <f t="shared" ref="D45:M45" si="18">IF(D7="","",D7/D26)</f>
        <v>2.4828585488639074E-2</v>
      </c>
      <c r="E45" s="136" t="str">
        <f t="shared" si="18"/>
        <v/>
      </c>
      <c r="F45" s="136" t="str">
        <f t="shared" si="18"/>
        <v/>
      </c>
      <c r="G45" s="136" t="str">
        <f t="shared" si="18"/>
        <v/>
      </c>
      <c r="H45" s="136" t="str">
        <f t="shared" si="18"/>
        <v/>
      </c>
      <c r="I45" s="136" t="str">
        <f t="shared" si="18"/>
        <v/>
      </c>
      <c r="J45" s="136" t="str">
        <f t="shared" si="18"/>
        <v/>
      </c>
      <c r="K45" s="136" t="str">
        <f t="shared" si="18"/>
        <v/>
      </c>
      <c r="L45" s="136" t="str">
        <f t="shared" si="18"/>
        <v/>
      </c>
      <c r="M45" s="136" t="str">
        <f t="shared" si="18"/>
        <v/>
      </c>
      <c r="N45" s="6"/>
    </row>
    <row r="46" spans="1:14" ht="15.75" customHeight="1">
      <c r="A46" s="9"/>
      <c r="B46" s="141" t="s">
        <v>264</v>
      </c>
      <c r="C46" s="154">
        <f>C26/C29</f>
        <v>12.685793458171416</v>
      </c>
      <c r="D46" s="154">
        <f t="shared" ref="D46:M46" si="19">IF(D29="","",D26/D29)</f>
        <v>12.005305698163717</v>
      </c>
      <c r="E46" s="154" t="str">
        <f t="shared" si="19"/>
        <v/>
      </c>
      <c r="F46" s="154" t="str">
        <f t="shared" si="19"/>
        <v/>
      </c>
      <c r="G46" s="154" t="str">
        <f t="shared" si="19"/>
        <v/>
      </c>
      <c r="H46" s="154" t="str">
        <f t="shared" si="19"/>
        <v/>
      </c>
      <c r="I46" s="154" t="str">
        <f t="shared" si="19"/>
        <v/>
      </c>
      <c r="J46" s="154" t="str">
        <f t="shared" si="19"/>
        <v/>
      </c>
      <c r="K46" s="154" t="str">
        <f t="shared" si="19"/>
        <v/>
      </c>
      <c r="L46" s="154" t="str">
        <f t="shared" si="19"/>
        <v/>
      </c>
      <c r="M46" s="154" t="str">
        <f t="shared" si="19"/>
        <v/>
      </c>
      <c r="N46" s="6"/>
    </row>
    <row r="47" spans="1:14" ht="15.75" customHeight="1">
      <c r="A47" s="9"/>
      <c r="B47" s="141" t="s">
        <v>263</v>
      </c>
      <c r="C47" s="136">
        <f>C44*C45*C46</f>
        <v>0.11447209165544632</v>
      </c>
      <c r="D47" s="136">
        <f>IF(D44="","",D44*D45*D46)</f>
        <v>0.12202692785332533</v>
      </c>
      <c r="E47" s="136" t="str">
        <f t="shared" ref="E47:M47" si="20">IF(E44="","",E44*E45*E46)</f>
        <v/>
      </c>
      <c r="F47" s="136" t="str">
        <f t="shared" si="20"/>
        <v/>
      </c>
      <c r="G47" s="136" t="str">
        <f t="shared" si="20"/>
        <v/>
      </c>
      <c r="H47" s="136" t="str">
        <f t="shared" si="20"/>
        <v/>
      </c>
      <c r="I47" s="136" t="str">
        <f t="shared" si="20"/>
        <v/>
      </c>
      <c r="J47" s="136" t="str">
        <f t="shared" si="20"/>
        <v/>
      </c>
      <c r="K47" s="136" t="str">
        <f t="shared" si="20"/>
        <v/>
      </c>
      <c r="L47" s="136" t="str">
        <f t="shared" si="20"/>
        <v/>
      </c>
      <c r="M47" s="136" t="str">
        <f t="shared" si="20"/>
        <v/>
      </c>
      <c r="N47" s="6"/>
    </row>
    <row r="48" spans="1:14" ht="15.75" customHeight="1">
      <c r="A48" s="9"/>
      <c r="B48" s="155" t="s">
        <v>220</v>
      </c>
      <c r="C48" s="144">
        <f>((C24-C33)/C24)*C47</f>
        <v>7.5740026098445518E-2</v>
      </c>
      <c r="D48" s="144">
        <f>IF(D47="","",((D24-D33)/D24)*D47)</f>
        <v>8.2344067085535183E-2</v>
      </c>
      <c r="E48" s="144" t="str">
        <f t="shared" ref="E48:M48" si="21">IF(E47="","",((E24-E33)/E24)*E47)</f>
        <v/>
      </c>
      <c r="F48" s="144" t="str">
        <f t="shared" si="21"/>
        <v/>
      </c>
      <c r="G48" s="144" t="str">
        <f t="shared" si="21"/>
        <v/>
      </c>
      <c r="H48" s="144" t="str">
        <f t="shared" si="21"/>
        <v/>
      </c>
      <c r="I48" s="144" t="str">
        <f t="shared" si="21"/>
        <v/>
      </c>
      <c r="J48" s="144" t="str">
        <f t="shared" si="21"/>
        <v/>
      </c>
      <c r="K48" s="144" t="str">
        <f t="shared" si="21"/>
        <v/>
      </c>
      <c r="L48" s="144" t="str">
        <f t="shared" si="21"/>
        <v/>
      </c>
      <c r="M48" s="144" t="str">
        <f t="shared" si="21"/>
        <v/>
      </c>
      <c r="N48" s="6"/>
    </row>
    <row r="49" spans="1:13" ht="15.75" customHeight="1">
      <c r="A49" s="9"/>
      <c r="B49" s="108" t="s">
        <v>327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>
      <c r="A50" s="9"/>
      <c r="B50" s="145" t="s">
        <v>335</v>
      </c>
      <c r="C50" s="152">
        <f>C16/C28</f>
        <v>5.7826825640976643E-3</v>
      </c>
      <c r="D50" s="152">
        <f>IF(D28="","",D16/D28)</f>
        <v>7.5722389339323223E-3</v>
      </c>
      <c r="E50" s="152">
        <f t="shared" ref="E50:M50" si="22">IF(E28="","",E16/E28)</f>
        <v>0</v>
      </c>
      <c r="F50" s="152">
        <f t="shared" si="22"/>
        <v>0</v>
      </c>
      <c r="G50" s="152">
        <f t="shared" si="22"/>
        <v>0</v>
      </c>
      <c r="H50" s="152" t="str">
        <f t="shared" si="22"/>
        <v/>
      </c>
      <c r="I50" s="152" t="str">
        <f t="shared" si="22"/>
        <v/>
      </c>
      <c r="J50" s="152" t="str">
        <f t="shared" si="22"/>
        <v/>
      </c>
      <c r="K50" s="152" t="str">
        <f t="shared" si="22"/>
        <v/>
      </c>
      <c r="L50" s="152" t="str">
        <f t="shared" si="22"/>
        <v/>
      </c>
      <c r="M50" s="152" t="str">
        <f t="shared" si="22"/>
        <v/>
      </c>
    </row>
    <row r="51" spans="1:13" ht="15.75" customHeight="1">
      <c r="A51" s="9"/>
      <c r="B51" s="141" t="s">
        <v>336</v>
      </c>
      <c r="C51" s="35"/>
      <c r="D51" s="35"/>
    </row>
    <row r="52" spans="1:13" ht="15.75" customHeight="1">
      <c r="A52" s="9"/>
      <c r="B52" s="141" t="s">
        <v>337</v>
      </c>
      <c r="C52" s="36"/>
      <c r="D52" s="36"/>
    </row>
    <row r="53" spans="1:13" ht="15.75" customHeight="1">
      <c r="A53" s="9"/>
      <c r="B53" s="32"/>
      <c r="C53" s="35"/>
      <c r="D53" s="35"/>
    </row>
    <row r="54" spans="1:13" ht="15.75" customHeight="1">
      <c r="A54" s="9"/>
      <c r="B54" s="32"/>
      <c r="C54" s="36"/>
      <c r="D54" s="36"/>
    </row>
    <row r="55" spans="1:13" ht="15.75" customHeight="1">
      <c r="A55" s="9"/>
    </row>
    <row r="56" spans="1:13" ht="15.75" customHeight="1">
      <c r="A56" s="9"/>
    </row>
    <row r="57" spans="1:13" ht="15.75" customHeight="1">
      <c r="A57" s="9"/>
    </row>
    <row r="58" spans="1:13" ht="15.75" customHeight="1">
      <c r="A58" s="9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/>
    <row r="256" spans="1:1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</sheetData>
  <phoneticPr fontId="31" type="noConversion"/>
  <conditionalFormatting sqref="C7:M31 D38:M42 D44:M48">
    <cfRule type="containsBlanks" dxfId="9" priority="6">
      <formula>LEN(TRIM(C7))=0</formula>
    </cfRule>
  </conditionalFormatting>
  <conditionalFormatting sqref="C33:M36">
    <cfRule type="containsBlanks" dxfId="8" priority="8">
      <formula>LEN(TRIM(C33))=0</formula>
    </cfRule>
  </conditionalFormatting>
  <conditionalFormatting sqref="D23:M23">
    <cfRule type="containsBlanks" dxfId="7" priority="7">
      <formula>LEN(TRIM(D23))=0</formula>
    </cfRule>
  </conditionalFormatting>
  <conditionalFormatting sqref="D50:M50">
    <cfRule type="containsBlanks" dxfId="6" priority="1">
      <formula>LEN(TRIM(D50))=0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43"/>
  <sheetViews>
    <sheetView showGridLines="0" zoomScaleNormal="100" workbookViewId="0">
      <selection activeCell="D23" sqref="D23"/>
    </sheetView>
  </sheetViews>
  <sheetFormatPr defaultColWidth="12.453125" defaultRowHeight="15" customHeight="1"/>
  <cols>
    <col min="1" max="1" width="2.453125" style="3" customWidth="1"/>
    <col min="2" max="2" width="28" style="3" customWidth="1"/>
    <col min="3" max="5" width="17.453125" style="3" customWidth="1"/>
    <col min="6" max="6" width="7.453125" style="3" customWidth="1"/>
    <col min="7" max="7" width="2" style="3" customWidth="1"/>
    <col min="8" max="8" width="20.90625" style="3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06" t="s">
        <v>58</v>
      </c>
      <c r="C2" s="106"/>
      <c r="D2" s="168"/>
      <c r="E2" s="6"/>
      <c r="F2" s="12"/>
      <c r="G2" s="12"/>
      <c r="H2" s="12"/>
      <c r="I2" s="6"/>
      <c r="K2" s="121" t="s">
        <v>74</v>
      </c>
    </row>
    <row r="3" spans="1:11" ht="15" customHeight="1">
      <c r="B3" s="5" t="s">
        <v>159</v>
      </c>
      <c r="C3" s="6"/>
      <c r="D3" s="173">
        <f>C33-I33</f>
        <v>2720706</v>
      </c>
      <c r="E3" s="174" t="str">
        <f>IF((C33-I33)=D3,"", "Error!")</f>
        <v/>
      </c>
      <c r="F3" s="6"/>
      <c r="G3" s="6"/>
      <c r="H3" s="108" t="s">
        <v>160</v>
      </c>
      <c r="I3" s="149">
        <v>2714446</v>
      </c>
      <c r="K3" s="43"/>
    </row>
    <row r="4" spans="1:11" ht="15" customHeight="1">
      <c r="B4" s="5" t="s">
        <v>145</v>
      </c>
      <c r="C4" s="6"/>
      <c r="D4" s="169">
        <f>D3-I3</f>
        <v>6260</v>
      </c>
      <c r="E4" s="88"/>
      <c r="F4" s="6"/>
      <c r="G4" s="6"/>
      <c r="H4" s="38" t="s">
        <v>59</v>
      </c>
      <c r="I4" s="132">
        <f>(I3*Dashboard!I12*Data!C4)/Dashboard!I5</f>
        <v>1455.897052730558</v>
      </c>
      <c r="K4" s="43"/>
    </row>
    <row r="5" spans="1:11" ht="15" customHeight="1">
      <c r="C5" s="6"/>
      <c r="D5" s="6"/>
      <c r="E5" s="18" t="s">
        <v>60</v>
      </c>
      <c r="I5" s="6"/>
      <c r="K5" s="43"/>
    </row>
    <row r="6" spans="1:11" ht="15" customHeight="1" thickBot="1">
      <c r="B6" s="37" t="s">
        <v>226</v>
      </c>
      <c r="C6" s="6"/>
      <c r="D6" s="176">
        <f>E33-I33-E37</f>
        <v>-8283366.4999999963</v>
      </c>
      <c r="E6" s="136">
        <f>1-D6/D3</f>
        <v>4.0445650871501719</v>
      </c>
      <c r="F6" s="6"/>
      <c r="G6" s="6"/>
      <c r="H6" s="3" t="s">
        <v>303</v>
      </c>
      <c r="I6" s="167">
        <f>C33/D3</f>
        <v>13.979237374416787</v>
      </c>
      <c r="J6" s="6"/>
      <c r="K6" s="43"/>
    </row>
    <row r="7" spans="1:11" ht="15" customHeight="1" thickTop="1">
      <c r="B7" s="32" t="s">
        <v>227</v>
      </c>
      <c r="C7" s="6"/>
      <c r="D7" s="170">
        <f>MAX((D6*Exchange_Rate*Data!C4)/Common_Shares, 0)</f>
        <v>0</v>
      </c>
      <c r="E7" s="18" t="str">
        <f>Dashboard!J4</f>
        <v>HKD</v>
      </c>
      <c r="H7" s="3" t="s">
        <v>304</v>
      </c>
      <c r="I7" s="167">
        <f>(I28+I29)/I3</f>
        <v>12.664347715887514</v>
      </c>
      <c r="J7" s="6"/>
      <c r="K7" s="77"/>
    </row>
    <row r="8" spans="1:11" ht="15" customHeight="1">
      <c r="C8" s="6"/>
      <c r="D8" s="6"/>
      <c r="E8" s="6"/>
      <c r="H8" s="3" t="s">
        <v>309</v>
      </c>
      <c r="I8" s="272">
        <f>(I3-C32)/I33</f>
        <v>6.5130270877983829E-2</v>
      </c>
      <c r="K8" s="43"/>
    </row>
    <row r="9" spans="1:11" ht="15" customHeight="1">
      <c r="A9" s="4"/>
      <c r="B9" s="107" t="s">
        <v>155</v>
      </c>
      <c r="C9" s="84"/>
      <c r="D9" s="171">
        <v>45107</v>
      </c>
      <c r="E9" s="172" t="s">
        <v>274</v>
      </c>
      <c r="F9" s="84"/>
      <c r="G9" s="84"/>
      <c r="H9" s="84"/>
      <c r="I9" s="84"/>
      <c r="K9" s="43"/>
    </row>
    <row r="10" spans="1:11" ht="15" customHeight="1">
      <c r="B10" s="5" t="s">
        <v>61</v>
      </c>
      <c r="C10" s="244" t="s">
        <v>62</v>
      </c>
      <c r="D10" s="244" t="s">
        <v>63</v>
      </c>
      <c r="E10" s="244" t="s">
        <v>64</v>
      </c>
      <c r="F10" s="245" t="s">
        <v>150</v>
      </c>
      <c r="G10" s="6"/>
      <c r="H10" s="40" t="s">
        <v>65</v>
      </c>
      <c r="I10" s="244" t="s">
        <v>62</v>
      </c>
      <c r="K10" s="43"/>
    </row>
    <row r="11" spans="1:11" ht="15" customHeight="1">
      <c r="B11" s="5" t="s">
        <v>66</v>
      </c>
      <c r="C11" s="162">
        <v>3039971</v>
      </c>
      <c r="D11" s="163">
        <v>1</v>
      </c>
      <c r="E11" s="51">
        <f t="shared" ref="E11:E23" si="0">C11*D11</f>
        <v>3039971</v>
      </c>
      <c r="F11" s="6"/>
      <c r="G11" s="6"/>
      <c r="H11" s="5" t="s">
        <v>300</v>
      </c>
      <c r="I11" s="162">
        <f>1056559+2975929</f>
        <v>4032488</v>
      </c>
      <c r="J11" s="6"/>
      <c r="K11" s="43"/>
    </row>
    <row r="12" spans="1:11" ht="14">
      <c r="B12" s="3" t="s">
        <v>288</v>
      </c>
      <c r="C12" s="162">
        <v>935143</v>
      </c>
      <c r="D12" s="163">
        <v>0.95</v>
      </c>
      <c r="E12" s="51">
        <f t="shared" si="0"/>
        <v>888385.85</v>
      </c>
      <c r="F12" s="6"/>
      <c r="G12" s="6"/>
      <c r="H12" s="5" t="s">
        <v>301</v>
      </c>
      <c r="I12" s="162">
        <v>2001076</v>
      </c>
      <c r="J12" s="6"/>
      <c r="K12" s="43"/>
    </row>
    <row r="13" spans="1:11" ht="14">
      <c r="B13" s="5" t="s">
        <v>296</v>
      </c>
      <c r="C13" s="162">
        <v>457564</v>
      </c>
      <c r="D13" s="163">
        <v>0.8</v>
      </c>
      <c r="E13" s="51">
        <f t="shared" si="0"/>
        <v>366051.2</v>
      </c>
      <c r="F13" s="6"/>
      <c r="G13" s="6"/>
      <c r="H13" s="5" t="s">
        <v>299</v>
      </c>
      <c r="I13" s="162">
        <v>28231053</v>
      </c>
      <c r="J13" s="6"/>
      <c r="K13" s="43"/>
    </row>
    <row r="14" spans="1:11" ht="14">
      <c r="B14" s="5" t="s">
        <v>289</v>
      </c>
      <c r="C14" s="162">
        <v>109337</v>
      </c>
      <c r="D14" s="163">
        <v>1</v>
      </c>
      <c r="E14" s="51">
        <f t="shared" si="0"/>
        <v>109337</v>
      </c>
      <c r="F14" s="6"/>
      <c r="G14" s="6"/>
      <c r="H14" s="6" t="s">
        <v>302</v>
      </c>
      <c r="I14" s="162">
        <v>11680</v>
      </c>
      <c r="J14" s="6"/>
      <c r="K14" s="45"/>
    </row>
    <row r="15" spans="1:11" ht="14">
      <c r="B15" s="5" t="s">
        <v>290</v>
      </c>
      <c r="C15" s="162">
        <f>540613+1745256</f>
        <v>2285869</v>
      </c>
      <c r="D15" s="163">
        <v>0.5</v>
      </c>
      <c r="E15" s="51">
        <f t="shared" si="0"/>
        <v>1142934.5</v>
      </c>
      <c r="F15" s="6"/>
      <c r="G15" s="6"/>
      <c r="H15" s="3" t="s">
        <v>310</v>
      </c>
      <c r="I15" s="162">
        <v>56178</v>
      </c>
      <c r="J15" s="6"/>
      <c r="K15" s="47"/>
    </row>
    <row r="16" spans="1:11" ht="14">
      <c r="B16" s="5" t="s">
        <v>292</v>
      </c>
      <c r="C16" s="162">
        <v>7782325</v>
      </c>
      <c r="D16" s="163">
        <v>0.7</v>
      </c>
      <c r="E16" s="51">
        <f t="shared" si="0"/>
        <v>5447627.5</v>
      </c>
      <c r="F16" s="6"/>
      <c r="G16" s="6"/>
      <c r="H16" s="6" t="s">
        <v>291</v>
      </c>
      <c r="I16" s="162">
        <v>44213</v>
      </c>
      <c r="J16" s="6"/>
    </row>
    <row r="17" spans="2:10" ht="14">
      <c r="B17" s="3" t="s">
        <v>291</v>
      </c>
      <c r="C17" s="162">
        <v>49511</v>
      </c>
      <c r="D17" s="163">
        <v>0.5</v>
      </c>
      <c r="E17" s="51">
        <f t="shared" si="0"/>
        <v>24755.5</v>
      </c>
      <c r="F17" s="164" t="s">
        <v>151</v>
      </c>
      <c r="G17" s="58">
        <f>IF(F17="Y",0,1)</f>
        <v>0</v>
      </c>
      <c r="H17" s="5" t="s">
        <v>287</v>
      </c>
      <c r="I17" s="124">
        <f>I33-SUM(I11:I16)</f>
        <v>936001</v>
      </c>
      <c r="J17" s="6"/>
    </row>
    <row r="18" spans="2:10" ht="14">
      <c r="B18" s="5" t="s">
        <v>295</v>
      </c>
      <c r="C18" s="162">
        <v>1885228</v>
      </c>
      <c r="D18" s="163">
        <v>0.6</v>
      </c>
      <c r="E18" s="51">
        <f t="shared" si="0"/>
        <v>1131136.8</v>
      </c>
      <c r="F18" s="6"/>
      <c r="G18" s="6"/>
      <c r="H18" s="5"/>
      <c r="I18" s="92"/>
      <c r="J18" s="6"/>
    </row>
    <row r="19" spans="2:10" ht="14">
      <c r="B19" s="5" t="s">
        <v>294</v>
      </c>
      <c r="C19" s="162">
        <v>20915065</v>
      </c>
      <c r="D19" s="163">
        <v>0.7</v>
      </c>
      <c r="E19" s="51">
        <f t="shared" si="0"/>
        <v>14640545.5</v>
      </c>
      <c r="F19" s="6"/>
      <c r="G19" s="6"/>
      <c r="H19" s="6"/>
      <c r="I19" s="6"/>
    </row>
    <row r="20" spans="2:10" ht="14">
      <c r="B20" s="5" t="s">
        <v>69</v>
      </c>
      <c r="C20" s="162">
        <v>8077</v>
      </c>
      <c r="D20" s="163">
        <v>0.4</v>
      </c>
      <c r="E20" s="51">
        <f t="shared" si="0"/>
        <v>3230.8</v>
      </c>
      <c r="F20" s="6"/>
      <c r="G20" s="6"/>
      <c r="H20" s="6"/>
      <c r="I20" s="6"/>
    </row>
    <row r="21" spans="2:10" ht="14">
      <c r="B21" s="3" t="s">
        <v>67</v>
      </c>
      <c r="C21" s="162">
        <v>0</v>
      </c>
      <c r="D21" s="163">
        <v>0.75</v>
      </c>
      <c r="E21" s="51">
        <f t="shared" si="0"/>
        <v>0</v>
      </c>
      <c r="F21" s="164" t="s">
        <v>151</v>
      </c>
      <c r="G21" s="58">
        <f>IF(F21="Y",0,1)</f>
        <v>0</v>
      </c>
      <c r="H21" s="5"/>
      <c r="I21" s="92"/>
    </row>
    <row r="22" spans="2:10" ht="14">
      <c r="B22" s="5" t="s">
        <v>68</v>
      </c>
      <c r="C22" s="162">
        <v>10161</v>
      </c>
      <c r="D22" s="163">
        <v>0.4</v>
      </c>
      <c r="E22" s="51">
        <f t="shared" si="0"/>
        <v>4064.4</v>
      </c>
      <c r="F22" s="164" t="s">
        <v>151</v>
      </c>
      <c r="G22" s="58">
        <f>IF(F22="Y",0,1)</f>
        <v>0</v>
      </c>
      <c r="H22" s="5"/>
      <c r="I22" s="92"/>
    </row>
    <row r="23" spans="2:10" ht="14">
      <c r="B23" s="5" t="s">
        <v>185</v>
      </c>
      <c r="C23" s="162">
        <v>140623</v>
      </c>
      <c r="D23" s="163">
        <v>0.3</v>
      </c>
      <c r="E23" s="51">
        <f t="shared" si="0"/>
        <v>42186.9</v>
      </c>
      <c r="F23" s="6"/>
      <c r="G23" s="58"/>
      <c r="H23" s="5"/>
      <c r="I23" s="92"/>
    </row>
    <row r="24" spans="2:10" ht="14">
      <c r="B24" s="5" t="s">
        <v>293</v>
      </c>
      <c r="C24" s="162">
        <v>157477</v>
      </c>
      <c r="D24" s="163">
        <v>0.95</v>
      </c>
      <c r="E24" s="51">
        <f>C24*D24</f>
        <v>149603.15</v>
      </c>
      <c r="F24" s="6"/>
      <c r="G24" s="6"/>
      <c r="H24" s="5"/>
      <c r="I24" s="92"/>
    </row>
    <row r="25" spans="2:10" ht="14">
      <c r="B25" s="5" t="s">
        <v>70</v>
      </c>
      <c r="C25" s="162">
        <v>28282</v>
      </c>
      <c r="D25" s="163">
        <v>0</v>
      </c>
      <c r="E25" s="51">
        <f>C25*D25</f>
        <v>0</v>
      </c>
      <c r="F25" s="6"/>
      <c r="G25" s="6"/>
      <c r="H25" s="5"/>
      <c r="I25" s="92"/>
    </row>
    <row r="26" spans="2:10" ht="15" customHeight="1">
      <c r="B26" s="5" t="s">
        <v>71</v>
      </c>
      <c r="C26" s="162">
        <f>1381+227381</f>
        <v>228762</v>
      </c>
      <c r="D26" s="163">
        <v>0.2</v>
      </c>
      <c r="E26" s="51">
        <f t="shared" ref="E26" si="1">C26*D26</f>
        <v>45752.4</v>
      </c>
      <c r="F26" s="6"/>
      <c r="G26" s="6"/>
      <c r="H26" s="6"/>
      <c r="I26" s="6"/>
    </row>
    <row r="27" spans="2:10" ht="15" customHeight="1">
      <c r="C27" s="6"/>
      <c r="D27" s="6"/>
      <c r="E27" s="6"/>
      <c r="F27" s="245" t="s">
        <v>265</v>
      </c>
      <c r="G27" s="6"/>
      <c r="H27" s="6"/>
      <c r="I27" s="6"/>
    </row>
    <row r="28" spans="2:10" ht="15" customHeight="1">
      <c r="B28" s="41" t="s">
        <v>285</v>
      </c>
      <c r="C28" s="165">
        <f>SUM(C11:C13)</f>
        <v>4432678</v>
      </c>
      <c r="D28" s="166">
        <f>IF(E28=0,0,E28/C28)</f>
        <v>0.96880667849097091</v>
      </c>
      <c r="E28" s="51">
        <f>SUM(E11:E13)</f>
        <v>4294408.05</v>
      </c>
      <c r="F28" s="212">
        <f>E28/$E$33</f>
        <v>0.15884281575956424</v>
      </c>
      <c r="G28" s="6"/>
      <c r="H28" s="3" t="s">
        <v>52</v>
      </c>
      <c r="I28" s="265">
        <f>I11+I12+I13</f>
        <v>34264617</v>
      </c>
    </row>
    <row r="29" spans="2:10" ht="15" customHeight="1">
      <c r="B29" s="41" t="s">
        <v>286</v>
      </c>
      <c r="C29" s="165">
        <f>SUM(C14:C17)</f>
        <v>10227042</v>
      </c>
      <c r="D29" s="166">
        <f t="shared" ref="D29:D31" si="2">IF(E29=0,0,E29/C29)</f>
        <v>0.65753660735919539</v>
      </c>
      <c r="E29" s="51">
        <f>SUM(E14:E17)</f>
        <v>6724654.5</v>
      </c>
      <c r="F29" s="212"/>
      <c r="G29" s="6"/>
      <c r="H29" s="3" t="s">
        <v>305</v>
      </c>
      <c r="I29" s="265">
        <f>SUM(I14:I16)</f>
        <v>112071</v>
      </c>
    </row>
    <row r="30" spans="2:10" ht="15" customHeight="1">
      <c r="B30" s="41" t="s">
        <v>297</v>
      </c>
      <c r="C30" s="165">
        <f>SUM(C18:C19)</f>
        <v>22800293</v>
      </c>
      <c r="D30" s="166">
        <f t="shared" si="2"/>
        <v>0.69173156239702716</v>
      </c>
      <c r="E30" s="51">
        <f>SUM(E18:E19)</f>
        <v>15771682.300000001</v>
      </c>
      <c r="F30" s="212">
        <f>E30/$E$33</f>
        <v>0.58336757863456423</v>
      </c>
      <c r="G30" s="6"/>
      <c r="H30" s="41" t="s">
        <v>306</v>
      </c>
      <c r="I30" s="272">
        <f>(I3-C32)/I33</f>
        <v>6.5130270877983829E-2</v>
      </c>
      <c r="J30" s="3" t="str">
        <f>IF(I30&lt;4.5%,"Liquidity Problem!","")</f>
        <v/>
      </c>
    </row>
    <row r="31" spans="2:10" ht="15" customHeight="1">
      <c r="B31" s="41" t="s">
        <v>298</v>
      </c>
      <c r="C31" s="165">
        <f>SUM(C20:C23)</f>
        <v>158861</v>
      </c>
      <c r="D31" s="166">
        <f t="shared" si="2"/>
        <v>0.31148047664310313</v>
      </c>
      <c r="E31" s="51">
        <f>SUM(E20:E23)</f>
        <v>49482.100000000006</v>
      </c>
      <c r="F31" s="212"/>
      <c r="G31" s="6"/>
      <c r="H31" s="41" t="s">
        <v>311</v>
      </c>
      <c r="I31" s="272">
        <f>E28/($I$33-I17)</f>
        <v>0.12492209982532348</v>
      </c>
      <c r="J31" s="13" t="str">
        <f>IF(I31&lt;10%,"Liquidity Problem!","")</f>
        <v/>
      </c>
    </row>
    <row r="32" spans="2:10" ht="15" customHeight="1" thickBot="1">
      <c r="B32" s="269" t="s">
        <v>307</v>
      </c>
      <c r="C32" s="270">
        <f>C24+C25+C26</f>
        <v>414521</v>
      </c>
      <c r="D32" s="271">
        <f t="shared" ref="D32" si="3">IF(E32=0,0,E32/C32)</f>
        <v>0.47128022464483099</v>
      </c>
      <c r="E32" s="268">
        <f>E24+E25+E26</f>
        <v>195355.55</v>
      </c>
      <c r="F32" s="212">
        <f>E32/$E$33</f>
        <v>7.225867983425175E-3</v>
      </c>
      <c r="G32" s="6"/>
      <c r="H32" s="41" t="s">
        <v>308</v>
      </c>
      <c r="I32" s="272">
        <f>E33/I33</f>
        <v>0.7656053182469339</v>
      </c>
      <c r="J32" s="13" t="str">
        <f>IF(OR(I32&lt;0.75,C33&lt;I33),"Liquidity Problem!","")</f>
        <v/>
      </c>
    </row>
    <row r="33" spans="2:10" ht="15" customHeight="1" thickTop="1">
      <c r="B33" s="5" t="s">
        <v>262</v>
      </c>
      <c r="C33" s="165">
        <f>SUM(C28:C32)</f>
        <v>38033395</v>
      </c>
      <c r="D33" s="136">
        <f t="shared" ref="D33" si="4">E33/C33</f>
        <v>0.71083800170876155</v>
      </c>
      <c r="E33" s="51">
        <f>SUM(E28:E32)</f>
        <v>27035582.500000004</v>
      </c>
      <c r="F33" s="6"/>
      <c r="G33" s="6"/>
      <c r="H33" s="264" t="s">
        <v>190</v>
      </c>
      <c r="I33" s="173">
        <v>35312689</v>
      </c>
      <c r="J33" s="68" t="e">
        <f>IF(J31="",1,0)+IF(J32="",1,0)+IF(#REF!="",1,0)+IF(#REF!="",1,0)</f>
        <v>#REF!</v>
      </c>
    </row>
    <row r="34" spans="2:10" ht="15" customHeight="1">
      <c r="C34" s="6"/>
      <c r="D34" s="6"/>
      <c r="E34" s="6"/>
      <c r="I34" s="6"/>
    </row>
    <row r="35" spans="2:10" ht="14">
      <c r="B35" s="17" t="s">
        <v>72</v>
      </c>
      <c r="C35" s="17"/>
      <c r="D35" s="31"/>
    </row>
    <row r="36" spans="2:10" ht="14">
      <c r="B36" s="102" t="s">
        <v>137</v>
      </c>
      <c r="C36" s="6"/>
      <c r="D36" s="244" t="str">
        <f>IF(E37=D4,"BV of the MI","P/B Approach")</f>
        <v>BV of the MI</v>
      </c>
      <c r="E36" s="6"/>
      <c r="F36" s="6"/>
      <c r="G36" s="6"/>
      <c r="H36" s="6"/>
      <c r="I36" s="6"/>
    </row>
    <row r="37" spans="2:10" ht="14">
      <c r="B37" s="5" t="s">
        <v>136</v>
      </c>
      <c r="C37" s="263">
        <f>D4</f>
        <v>6260</v>
      </c>
      <c r="D37" s="54">
        <f>IF(E37=0, 0,E37/C37)</f>
        <v>1</v>
      </c>
      <c r="E37" s="51">
        <f>MAX(C37,C37*Dashboard!I10)</f>
        <v>6260</v>
      </c>
      <c r="F37" s="6"/>
      <c r="G37" s="6"/>
      <c r="H37" s="6"/>
      <c r="I37" s="93"/>
    </row>
    <row r="38" spans="2:10" ht="15" customHeight="1">
      <c r="C38" s="6"/>
      <c r="D38" s="6"/>
      <c r="E38" s="6"/>
      <c r="F38" s="6"/>
      <c r="G38" s="6"/>
      <c r="H38" s="6"/>
      <c r="I38" s="6"/>
    </row>
    <row r="39" spans="2:10" ht="14">
      <c r="B39" s="44" t="s">
        <v>317</v>
      </c>
      <c r="C39" s="5"/>
      <c r="D39" s="245" t="s">
        <v>240</v>
      </c>
      <c r="E39" s="6"/>
      <c r="F39" s="15"/>
      <c r="G39" s="15"/>
      <c r="H39" s="6"/>
      <c r="I39" s="6"/>
    </row>
    <row r="40" spans="2:10" ht="15" customHeight="1">
      <c r="B40" s="32" t="s">
        <v>149</v>
      </c>
      <c r="C40" s="175">
        <f>C15+C16+(C21*G21)+(C22*G22)</f>
        <v>10068194</v>
      </c>
      <c r="D40" s="136">
        <f>IF(E40=0,0,E40/C40)</f>
        <v>0.65459227345043214</v>
      </c>
      <c r="E40" s="93">
        <f>E15+E16+(E21*G21)+(E22*G22)</f>
        <v>6590562</v>
      </c>
      <c r="F40" s="6"/>
      <c r="G40" s="6"/>
      <c r="H40" s="6"/>
      <c r="I40" s="6"/>
    </row>
    <row r="41" spans="2:10" ht="14">
      <c r="B41" s="32" t="s">
        <v>66</v>
      </c>
      <c r="C41" s="175">
        <f>C11+C12</f>
        <v>3975114</v>
      </c>
      <c r="D41" s="54">
        <f>IF(E41=0,0,E41/C41)</f>
        <v>0.98823753230724953</v>
      </c>
      <c r="E41" s="51">
        <f>E11+E12</f>
        <v>3928356.85</v>
      </c>
      <c r="F41" s="6"/>
      <c r="G41" s="6"/>
      <c r="H41" s="6"/>
      <c r="I41" s="6"/>
    </row>
    <row r="42" spans="2:10" ht="14">
      <c r="B42" s="32" t="s">
        <v>73</v>
      </c>
      <c r="C42" s="6"/>
      <c r="D42" s="336">
        <f>((Dashboard!I6*Data!C4)+E37-C40-C41)</f>
        <v>3637384552</v>
      </c>
      <c r="E42" s="336"/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</sheetData>
  <mergeCells count="1">
    <mergeCell ref="D42:E42"/>
  </mergeCells>
  <phoneticPr fontId="31" type="noConversion"/>
  <dataValidations count="3">
    <dataValidation allowBlank="1" sqref="D36" xr:uid="{00000000-0002-0000-0200-000000000000}"/>
    <dataValidation type="list" allowBlank="1" showInputMessage="1" showErrorMessage="1" sqref="F17 F21:F22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pageMargins left="0.25" right="0.25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3"/>
  <sheetViews>
    <sheetView showGridLines="0" zoomScale="108" zoomScaleNormal="100" zoomScalePageLayoutView="80" workbookViewId="0">
      <selection activeCell="H15" sqref="H15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63281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153</v>
      </c>
      <c r="C2" s="56"/>
      <c r="D2" s="56"/>
      <c r="E2" s="267">
        <f>IF(I3="",IF(H3="",1,2),3)</f>
        <v>1</v>
      </c>
      <c r="F2" s="111" t="s">
        <v>162</v>
      </c>
      <c r="G2" s="111">
        <v>1</v>
      </c>
      <c r="H2" s="111">
        <v>2</v>
      </c>
      <c r="I2" s="111">
        <v>3</v>
      </c>
      <c r="J2" s="12"/>
      <c r="K2" s="12"/>
    </row>
    <row r="3" spans="1:12" ht="15.75" customHeight="1">
      <c r="B3" s="21" t="str">
        <f>Val_Models!B3</f>
        <v>(Numbers in 1000000CNY)</v>
      </c>
      <c r="C3" s="177">
        <f>EOMONTH(EDATE(D3,-12),0)</f>
        <v>43830</v>
      </c>
      <c r="D3" s="177">
        <f>EOMONTH(EDATE(E3,-12),0)</f>
        <v>44196</v>
      </c>
      <c r="E3" s="177">
        <f>EOMONTH(EDATE(F3,-12),0)</f>
        <v>44561</v>
      </c>
      <c r="F3" s="177">
        <f>Dashboard!E6</f>
        <v>44926</v>
      </c>
      <c r="G3" s="177">
        <f>EOMONTH(EDATE(F3,12),0)</f>
        <v>45291</v>
      </c>
      <c r="H3" s="177" t="str">
        <f>IF(H9="","",EOMONTH(EDATE(G3,12),0))</f>
        <v/>
      </c>
      <c r="I3" s="177" t="str">
        <f>IF(I16="","",EOMONTH(EDATE(H3,12),0))</f>
        <v/>
      </c>
      <c r="K3" s="42" t="s">
        <v>74</v>
      </c>
    </row>
    <row r="4" spans="1:12" ht="15.75" customHeight="1">
      <c r="B4" s="113" t="s">
        <v>279</v>
      </c>
      <c r="C4" s="279"/>
      <c r="D4" s="279"/>
      <c r="E4" s="279">
        <v>674723</v>
      </c>
      <c r="F4" s="279">
        <v>503773</v>
      </c>
      <c r="G4" s="187"/>
      <c r="H4" s="188"/>
      <c r="I4" s="188"/>
      <c r="J4" s="6"/>
      <c r="K4" s="43"/>
      <c r="L4" s="36"/>
    </row>
    <row r="5" spans="1:12" ht="15.75" customHeight="1">
      <c r="B5" s="113" t="s">
        <v>323</v>
      </c>
      <c r="C5" s="169"/>
      <c r="D5" s="169"/>
      <c r="E5" s="169">
        <v>463922</v>
      </c>
      <c r="F5" s="169">
        <v>362568</v>
      </c>
      <c r="G5" s="179"/>
      <c r="H5" s="180"/>
      <c r="I5" s="180"/>
      <c r="J5" s="6"/>
      <c r="K5" s="43"/>
      <c r="L5" s="36"/>
    </row>
    <row r="6" spans="1:12" ht="15.75" customHeight="1">
      <c r="B6" s="113" t="s">
        <v>324</v>
      </c>
      <c r="C6" s="169"/>
      <c r="D6" s="169"/>
      <c r="E6" s="169">
        <v>32405</v>
      </c>
      <c r="F6" s="169">
        <v>34776</v>
      </c>
      <c r="G6" s="179"/>
      <c r="H6" s="180"/>
      <c r="I6" s="180"/>
      <c r="J6" s="6"/>
      <c r="K6" s="43"/>
      <c r="L6" s="36"/>
    </row>
    <row r="7" spans="1:12" ht="15.75" customHeight="1">
      <c r="B7" s="113" t="s">
        <v>325</v>
      </c>
      <c r="C7" s="169"/>
      <c r="D7" s="169"/>
      <c r="E7" s="169">
        <v>26963</v>
      </c>
      <c r="F7" s="169">
        <v>23083</v>
      </c>
      <c r="G7" s="179"/>
      <c r="H7" s="180"/>
      <c r="I7" s="180"/>
      <c r="J7" s="6"/>
      <c r="K7" s="43"/>
      <c r="L7" s="36"/>
    </row>
    <row r="8" spans="1:12" ht="15.75" customHeight="1">
      <c r="B8" s="5" t="s">
        <v>75</v>
      </c>
      <c r="C8" s="181" t="str">
        <f>Data!F7</f>
        <v/>
      </c>
      <c r="D8" s="181" t="str">
        <f>Data!E7</f>
        <v/>
      </c>
      <c r="E8" s="181">
        <f>Data!D7</f>
        <v>721746</v>
      </c>
      <c r="F8" s="181">
        <f>Data!C7</f>
        <v>725499</v>
      </c>
      <c r="G8" s="182">
        <f>F8*0.75</f>
        <v>544124.25</v>
      </c>
      <c r="H8" s="182"/>
      <c r="I8" s="183"/>
      <c r="J8" s="6"/>
      <c r="K8" s="43"/>
      <c r="L8" s="36"/>
    </row>
    <row r="9" spans="1:12" ht="15.75" customHeight="1">
      <c r="B9" s="14" t="s">
        <v>326</v>
      </c>
      <c r="C9" s="247"/>
      <c r="D9" s="157" t="e">
        <f>D8/C8-1</f>
        <v>#VALUE!</v>
      </c>
      <c r="E9" s="157" t="e">
        <f>E8/D8-1</f>
        <v>#VALUE!</v>
      </c>
      <c r="F9" s="157">
        <f>Data!C8</f>
        <v>5.1998902661047897E-3</v>
      </c>
      <c r="G9" s="136">
        <f>G8/F8-1</f>
        <v>-0.25</v>
      </c>
      <c r="H9" s="136"/>
      <c r="I9" s="163"/>
      <c r="J9" s="6"/>
      <c r="K9" s="43"/>
      <c r="L9" s="36"/>
    </row>
    <row r="10" spans="1:12" ht="15.75" customHeight="1">
      <c r="B10" s="8" t="s">
        <v>76</v>
      </c>
      <c r="C10" s="184" t="e">
        <f>Data!#REF!</f>
        <v>#REF!</v>
      </c>
      <c r="D10" s="184" t="e">
        <f>Data!#REF!</f>
        <v>#REF!</v>
      </c>
      <c r="E10" s="184" t="e">
        <f>Data!#REF!</f>
        <v>#REF!</v>
      </c>
      <c r="F10" s="184" t="e">
        <f>Data!#REF!</f>
        <v>#REF!</v>
      </c>
      <c r="G10" s="185">
        <f>G8*(1-G11)</f>
        <v>152354.79</v>
      </c>
      <c r="H10" s="186" t="str">
        <f>IF(H8="","",H8*(1-H11))</f>
        <v/>
      </c>
      <c r="I10" s="186" t="str">
        <f>IF(I8="","",I8*(1-I11))</f>
        <v/>
      </c>
      <c r="J10" s="6"/>
      <c r="K10" s="77"/>
      <c r="L10" s="1"/>
    </row>
    <row r="11" spans="1:12" ht="15.75" customHeight="1">
      <c r="B11" s="14" t="s">
        <v>43</v>
      </c>
      <c r="C11" s="94" t="e">
        <f t="shared" ref="C11:E11" si="0">(C8-C10)/C8</f>
        <v>#VALUE!</v>
      </c>
      <c r="D11" s="94" t="e">
        <f t="shared" si="0"/>
        <v>#VALUE!</v>
      </c>
      <c r="E11" s="94" t="e">
        <f t="shared" si="0"/>
        <v>#REF!</v>
      </c>
      <c r="F11" s="94" t="e">
        <f>(F8-F10)/F8</f>
        <v>#REF!</v>
      </c>
      <c r="G11" s="190">
        <v>0.72</v>
      </c>
      <c r="H11" s="190"/>
      <c r="I11" s="190"/>
      <c r="J11" s="6"/>
      <c r="K11" s="43"/>
    </row>
    <row r="12" spans="1:12" ht="15.75" customHeight="1">
      <c r="B12" s="5" t="s">
        <v>242</v>
      </c>
      <c r="C12" s="51" t="e">
        <f>C8-C10</f>
        <v>#VALUE!</v>
      </c>
      <c r="D12" s="51" t="e">
        <f t="shared" ref="D12:E12" si="1">D8-D10</f>
        <v>#VALUE!</v>
      </c>
      <c r="E12" s="51" t="e">
        <f t="shared" si="1"/>
        <v>#REF!</v>
      </c>
      <c r="F12" s="51" t="e">
        <f>F8-F10</f>
        <v>#REF!</v>
      </c>
      <c r="G12" s="51">
        <f>G8-G10</f>
        <v>391769.45999999996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45</v>
      </c>
      <c r="C13" s="54" t="e">
        <f>C14/C8</f>
        <v>#VALUE!</v>
      </c>
      <c r="D13" s="54" t="e">
        <f t="shared" ref="D13:E13" si="2">D14/D8</f>
        <v>#VALUE!</v>
      </c>
      <c r="E13" s="54">
        <f t="shared" si="2"/>
        <v>0.36061855555832661</v>
      </c>
      <c r="F13" s="54">
        <f>F14/F8</f>
        <v>0.37770279490392128</v>
      </c>
      <c r="G13" s="189">
        <f>G14/G8</f>
        <v>0.52878391286548987</v>
      </c>
      <c r="H13" s="163"/>
      <c r="I13" s="163"/>
      <c r="J13" s="6"/>
      <c r="K13" s="43"/>
    </row>
    <row r="14" spans="1:12" ht="15.75" customHeight="1">
      <c r="B14" s="8" t="s">
        <v>77</v>
      </c>
      <c r="C14" s="181">
        <f>Data!F15</f>
        <v>0</v>
      </c>
      <c r="D14" s="181">
        <f>Data!E15</f>
        <v>0</v>
      </c>
      <c r="E14" s="181">
        <f>Data!D15</f>
        <v>260275</v>
      </c>
      <c r="F14" s="181">
        <f>Data!C15</f>
        <v>274023</v>
      </c>
      <c r="G14" s="147">
        <f>F14*1.05</f>
        <v>287724.15000000002</v>
      </c>
      <c r="H14" s="147"/>
      <c r="I14" s="147"/>
      <c r="J14" s="6"/>
      <c r="K14" s="43"/>
    </row>
    <row r="15" spans="1:12" ht="15.75" customHeight="1">
      <c r="B15" s="14" t="s">
        <v>46</v>
      </c>
      <c r="C15" s="152" t="e">
        <f t="shared" ref="C15:E15" si="3">C17/C8</f>
        <v>#VALUE!</v>
      </c>
      <c r="D15" s="152" t="e">
        <f t="shared" si="3"/>
        <v>#VALUE!</v>
      </c>
      <c r="E15" s="152" t="e">
        <f t="shared" si="3"/>
        <v>#REF!</v>
      </c>
      <c r="F15" s="152" t="e">
        <f>F17/F8</f>
        <v>#REF!</v>
      </c>
      <c r="G15" s="152">
        <f>G17/G8</f>
        <v>0.19121608713451008</v>
      </c>
      <c r="H15" s="152" t="str">
        <f>IF(H9="","",H17/H8)</f>
        <v/>
      </c>
      <c r="I15" s="152" t="str">
        <f>IF(I9="","",I17/I8)</f>
        <v/>
      </c>
      <c r="J15" s="6"/>
      <c r="K15" s="43"/>
      <c r="L15" s="36"/>
    </row>
    <row r="16" spans="1:12" ht="15.75" customHeight="1">
      <c r="B16" s="14" t="s">
        <v>78</v>
      </c>
      <c r="C16" s="247"/>
      <c r="D16" s="157" t="e">
        <f t="shared" ref="D16:E16" si="4">D17/C17-1</f>
        <v>#VALUE!</v>
      </c>
      <c r="E16" s="157" t="e">
        <f t="shared" si="4"/>
        <v>#REF!</v>
      </c>
      <c r="F16" s="157" t="e">
        <f>F17/E17-1</f>
        <v>#REF!</v>
      </c>
      <c r="G16" s="136" t="e">
        <f>IF(ABS(F17+G17)=ABS(F17)+ABS(G17),IF(G17&lt;0,-1,1)*(G17-F17)/F17,"Turn")</f>
        <v>#REF!</v>
      </c>
      <c r="H16" s="136" t="str">
        <f>IF(H9="","",IF(ABS(G17+H17)=ABS(G17)+ABS(H17),IF(H17&lt;0,-1,1)*(H17-G17)/G17,"Turn"))</f>
        <v/>
      </c>
      <c r="I16" s="136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152</v>
      </c>
      <c r="C17" s="140" t="e">
        <f t="shared" ref="C17:D17" si="5">C12-C14</f>
        <v>#VALUE!</v>
      </c>
      <c r="D17" s="140" t="e">
        <f t="shared" si="5"/>
        <v>#VALUE!</v>
      </c>
      <c r="E17" s="140" t="e">
        <f>E12-E14</f>
        <v>#REF!</v>
      </c>
      <c r="F17" s="140" t="e">
        <f>F12-F14</f>
        <v>#REF!</v>
      </c>
      <c r="G17" s="140">
        <f>G12-G14</f>
        <v>104045.30999999994</v>
      </c>
      <c r="H17" s="140" t="str">
        <f>IF(H9="","",H12-H14)</f>
        <v/>
      </c>
      <c r="I17" s="140" t="str">
        <f>IF(I9="","",I12-I14)</f>
        <v/>
      </c>
      <c r="J17" s="6"/>
      <c r="K17" s="47"/>
      <c r="L17" s="35"/>
    </row>
    <row r="18" spans="2:12" ht="15.75" customHeight="1">
      <c r="B18" s="191" t="s">
        <v>79</v>
      </c>
      <c r="C18" s="246"/>
      <c r="D18" s="246"/>
      <c r="E18" s="246"/>
      <c r="F18" s="193">
        <v>0.25</v>
      </c>
      <c r="G18" s="152">
        <f>IF(G17="","",F18)</f>
        <v>0.25</v>
      </c>
      <c r="H18" s="152" t="str">
        <f>IF(H17="","",G18)</f>
        <v/>
      </c>
      <c r="I18" s="152" t="str">
        <f>IF(I17="","",H18)</f>
        <v/>
      </c>
      <c r="K18" s="43"/>
    </row>
    <row r="19" spans="2:12" ht="15.75" customHeight="1">
      <c r="B19" s="14" t="s">
        <v>187</v>
      </c>
      <c r="C19" s="247"/>
      <c r="D19" s="247"/>
      <c r="E19" s="247"/>
      <c r="F19" s="157" t="e">
        <f>F20/F8</f>
        <v>#REF!</v>
      </c>
      <c r="G19" s="136">
        <f>G20/G8</f>
        <v>0.14341206535088255</v>
      </c>
      <c r="H19" s="136" t="str">
        <f>IF(H8="","",H20/H8)</f>
        <v/>
      </c>
      <c r="I19" s="136" t="str">
        <f>IF(I8="","",I20/I8)</f>
        <v/>
      </c>
    </row>
    <row r="20" spans="2:12" ht="15.75" customHeight="1">
      <c r="B20" s="5" t="s">
        <v>57</v>
      </c>
      <c r="C20" s="248"/>
      <c r="D20" s="248"/>
      <c r="E20" s="248"/>
      <c r="F20" s="51" t="e">
        <f>IF(F17&lt;=0,F17,F17*(1-F18))</f>
        <v>#REF!</v>
      </c>
      <c r="G20" s="192">
        <f>IF(G17="","",IF(G17&lt;=0,G17,G17*(1-G18)))</f>
        <v>78033.982499999955</v>
      </c>
      <c r="H20" s="192" t="str">
        <f>IF(H17="","",IF(H17&lt;=0,H17,H17*(1-H18)))</f>
        <v/>
      </c>
      <c r="I20" s="192" t="str">
        <f>IF(I17="","",IF(I17&lt;=0,I17,I17*(1-I18)))</f>
        <v/>
      </c>
    </row>
    <row r="21" spans="2:12" ht="15.75" customHeight="1">
      <c r="B21" s="3" t="s">
        <v>277</v>
      </c>
    </row>
    <row r="22" spans="2:12" ht="15.75" customHeight="1">
      <c r="B22" s="3" t="s">
        <v>322</v>
      </c>
    </row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</sheetData>
  <phoneticPr fontId="31" type="noConversion"/>
  <conditionalFormatting sqref="G18:G20">
    <cfRule type="containsBlanks" dxfId="5" priority="22">
      <formula>LEN(TRIM(G18))=0</formula>
    </cfRule>
  </conditionalFormatting>
  <conditionalFormatting sqref="H10:H13 H15:H17">
    <cfRule type="containsBlanks" priority="31">
      <formula>LEN(TRIM(H10))=0</formula>
    </cfRule>
  </conditionalFormatting>
  <conditionalFormatting sqref="H10:H20">
    <cfRule type="containsBlanks" dxfId="4" priority="30">
      <formula>LEN(TRIM(H10))=0</formula>
    </cfRule>
  </conditionalFormatting>
  <conditionalFormatting sqref="H20:I20">
    <cfRule type="containsBlanks" dxfId="3" priority="24">
      <formula>LEN(TRIM(H20))=0</formula>
    </cfRule>
  </conditionalFormatting>
  <conditionalFormatting sqref="I9:I17">
    <cfRule type="containsBlanks" priority="27">
      <formula>LEN(TRIM(I9))=0</formula>
    </cfRule>
  </conditionalFormatting>
  <conditionalFormatting sqref="I9:I20">
    <cfRule type="containsBlanks" dxfId="2" priority="26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D34" sqref="D34"/>
    </sheetView>
  </sheetViews>
  <sheetFormatPr defaultColWidth="8.81640625"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18" spans="2:19" ht="15">
      <c r="C18" s="250">
        <f t="shared" ref="C18:G18" si="0">D18-1</f>
        <v>2012</v>
      </c>
      <c r="D18" s="250">
        <f t="shared" si="0"/>
        <v>2013</v>
      </c>
      <c r="E18" s="250">
        <f t="shared" si="0"/>
        <v>2014</v>
      </c>
      <c r="F18" s="250">
        <f t="shared" si="0"/>
        <v>2015</v>
      </c>
      <c r="G18" s="250">
        <f t="shared" si="0"/>
        <v>2016</v>
      </c>
      <c r="H18" s="250">
        <f t="shared" ref="H18:K18" si="1">I18-1</f>
        <v>2017</v>
      </c>
      <c r="I18" s="250">
        <f t="shared" si="1"/>
        <v>2018</v>
      </c>
      <c r="J18" s="250">
        <f t="shared" si="1"/>
        <v>2019</v>
      </c>
      <c r="K18" s="250">
        <f t="shared" si="1"/>
        <v>2020</v>
      </c>
      <c r="L18" s="250">
        <f>M18-1</f>
        <v>2021</v>
      </c>
      <c r="M18" s="250">
        <v>2022</v>
      </c>
      <c r="N18" s="249"/>
      <c r="O18" s="249"/>
      <c r="P18" s="249"/>
      <c r="Q18" s="249"/>
      <c r="R18" s="249"/>
      <c r="S18" s="249"/>
    </row>
    <row r="19" spans="2:19" ht="14">
      <c r="B19" s="3" t="s">
        <v>266</v>
      </c>
      <c r="C19" s="266"/>
      <c r="D19" s="266"/>
      <c r="E19" s="266"/>
      <c r="F19" s="266"/>
      <c r="G19" s="266"/>
      <c r="H19" s="266"/>
      <c r="I19" s="266"/>
      <c r="J19" s="266">
        <v>1600216</v>
      </c>
      <c r="K19" s="266">
        <v>2562909</v>
      </c>
      <c r="L19" s="266">
        <v>5067853</v>
      </c>
      <c r="M19" s="266">
        <v>7494766</v>
      </c>
    </row>
    <row r="20" spans="2:19" ht="14">
      <c r="B20" s="3" t="s">
        <v>267</v>
      </c>
      <c r="C20" s="266"/>
      <c r="D20" s="266"/>
      <c r="E20" s="266"/>
      <c r="F20" s="266"/>
      <c r="G20" s="266"/>
      <c r="H20" s="266"/>
      <c r="I20" s="266"/>
      <c r="J20" s="266">
        <v>1306273</v>
      </c>
      <c r="K20" s="266">
        <v>1152691</v>
      </c>
      <c r="L20" s="266">
        <v>1440522</v>
      </c>
      <c r="M20" s="266">
        <v>1607278</v>
      </c>
    </row>
    <row r="21" spans="2:19" ht="14">
      <c r="B21" s="3" t="s">
        <v>268</v>
      </c>
      <c r="C21" s="266"/>
      <c r="D21" s="266"/>
      <c r="E21" s="266"/>
      <c r="F21" s="266"/>
      <c r="G21" s="266"/>
      <c r="H21" s="266"/>
      <c r="I21" s="266"/>
      <c r="J21" s="266">
        <v>204561</v>
      </c>
      <c r="K21" s="266">
        <v>207215</v>
      </c>
      <c r="L21" s="266">
        <v>435503</v>
      </c>
      <c r="M21" s="266">
        <v>680320</v>
      </c>
    </row>
    <row r="22" spans="2:19" ht="14">
      <c r="B22" s="3" t="s">
        <v>269</v>
      </c>
      <c r="C22" s="266"/>
      <c r="D22" s="266"/>
      <c r="E22" s="266"/>
      <c r="F22" s="266"/>
      <c r="G22" s="266"/>
      <c r="H22" s="266"/>
      <c r="I22" s="266"/>
      <c r="J22" s="266">
        <v>127850</v>
      </c>
      <c r="K22" s="266">
        <v>263079</v>
      </c>
      <c r="L22" s="266">
        <v>334185</v>
      </c>
      <c r="M22" s="266">
        <v>543408</v>
      </c>
    </row>
    <row r="23" spans="2:19" ht="14">
      <c r="B23" s="3" t="s">
        <v>241</v>
      </c>
      <c r="C23" s="266"/>
      <c r="D23" s="266"/>
      <c r="E23" s="266"/>
      <c r="F23" s="266"/>
      <c r="G23" s="266"/>
      <c r="H23" s="266"/>
      <c r="I23" s="266"/>
      <c r="J23" s="266">
        <v>335078</v>
      </c>
      <c r="K23" s="266">
        <v>341020</v>
      </c>
      <c r="L23" s="266">
        <v>459880</v>
      </c>
      <c r="M23" s="266">
        <v>396589</v>
      </c>
    </row>
    <row r="24" spans="2:19">
      <c r="B24" s="251"/>
      <c r="C24" s="253"/>
      <c r="D24" s="253"/>
      <c r="E24" s="253"/>
      <c r="F24" s="253"/>
      <c r="G24" s="253"/>
      <c r="H24" s="254"/>
      <c r="I24" s="254"/>
      <c r="J24" s="254"/>
      <c r="K24" s="254"/>
      <c r="L24" s="254"/>
      <c r="M24" s="254"/>
    </row>
    <row r="25" spans="2:19">
      <c r="B25" s="251"/>
      <c r="C25" s="252"/>
      <c r="D25" s="255"/>
      <c r="E25" s="255"/>
      <c r="F25" s="255"/>
      <c r="G25" s="255"/>
      <c r="H25" s="255"/>
      <c r="I25" s="255"/>
      <c r="J25" s="255"/>
      <c r="K25" s="255"/>
      <c r="L25" s="255"/>
      <c r="M25" s="255"/>
    </row>
    <row r="26" spans="2:19">
      <c r="C26" s="252"/>
      <c r="D26" s="252"/>
      <c r="E26" s="252"/>
      <c r="F26" s="252"/>
      <c r="G26" s="252"/>
      <c r="H26" s="252"/>
      <c r="I26" s="252"/>
      <c r="J26" s="252"/>
      <c r="K26" s="252"/>
      <c r="L26" s="252"/>
      <c r="M26" s="252"/>
    </row>
    <row r="46" spans="2:13" ht="13">
      <c r="B46" s="256" t="s">
        <v>243</v>
      </c>
    </row>
    <row r="47" spans="2:13" ht="15">
      <c r="C47" s="250">
        <f t="shared" ref="C47:M47" si="2">C18</f>
        <v>2012</v>
      </c>
      <c r="D47" s="250">
        <f t="shared" si="2"/>
        <v>2013</v>
      </c>
      <c r="E47" s="250">
        <f t="shared" si="2"/>
        <v>2014</v>
      </c>
      <c r="F47" s="250">
        <f t="shared" si="2"/>
        <v>2015</v>
      </c>
      <c r="G47" s="250">
        <f t="shared" si="2"/>
        <v>2016</v>
      </c>
      <c r="H47" s="250">
        <f t="shared" si="2"/>
        <v>2017</v>
      </c>
      <c r="I47" s="250">
        <f t="shared" si="2"/>
        <v>2018</v>
      </c>
      <c r="J47" s="250">
        <f t="shared" si="2"/>
        <v>2019</v>
      </c>
      <c r="K47" s="250">
        <f t="shared" si="2"/>
        <v>2020</v>
      </c>
      <c r="L47" s="250">
        <f t="shared" si="2"/>
        <v>2021</v>
      </c>
      <c r="M47" s="250">
        <f t="shared" si="2"/>
        <v>2022</v>
      </c>
    </row>
    <row r="48" spans="2:13">
      <c r="B48" s="251"/>
      <c r="C48" s="255"/>
      <c r="D48" s="255"/>
      <c r="E48" s="255"/>
      <c r="F48" s="255"/>
      <c r="G48" s="255"/>
      <c r="H48" s="255"/>
      <c r="I48" s="255"/>
      <c r="J48" s="255"/>
      <c r="K48" s="255"/>
      <c r="L48" s="255"/>
      <c r="M48" s="255"/>
    </row>
    <row r="49" spans="2:13">
      <c r="B49" s="251"/>
      <c r="C49" s="255"/>
      <c r="D49" s="255"/>
      <c r="E49" s="255"/>
      <c r="F49" s="255"/>
      <c r="G49" s="255"/>
      <c r="H49" s="255"/>
      <c r="I49" s="255"/>
      <c r="J49" s="255"/>
      <c r="K49" s="255"/>
      <c r="L49" s="255"/>
      <c r="M49" s="255"/>
    </row>
    <row r="50" spans="2:13">
      <c r="B50" s="251"/>
      <c r="C50" s="255"/>
      <c r="D50" s="255"/>
      <c r="E50" s="255"/>
      <c r="F50" s="255"/>
      <c r="G50" s="255"/>
      <c r="H50" s="255"/>
      <c r="I50" s="255"/>
      <c r="J50" s="255"/>
      <c r="K50" s="255"/>
      <c r="L50" s="255"/>
      <c r="M50" s="255"/>
    </row>
    <row r="71" spans="2:13" ht="13">
      <c r="B71" s="256" t="s">
        <v>253</v>
      </c>
    </row>
    <row r="72" spans="2:13" ht="15">
      <c r="B72" s="251"/>
      <c r="C72" s="250">
        <f>C47</f>
        <v>2012</v>
      </c>
      <c r="D72" s="250">
        <f t="shared" ref="D72:M72" si="3">D47</f>
        <v>2013</v>
      </c>
      <c r="E72" s="250">
        <f t="shared" si="3"/>
        <v>2014</v>
      </c>
      <c r="F72" s="250">
        <f t="shared" si="3"/>
        <v>2015</v>
      </c>
      <c r="G72" s="250">
        <f t="shared" si="3"/>
        <v>2016</v>
      </c>
      <c r="H72" s="250">
        <f t="shared" si="3"/>
        <v>2017</v>
      </c>
      <c r="I72" s="250">
        <f t="shared" si="3"/>
        <v>2018</v>
      </c>
      <c r="J72" s="250">
        <f t="shared" si="3"/>
        <v>2019</v>
      </c>
      <c r="K72" s="250">
        <f t="shared" si="3"/>
        <v>2020</v>
      </c>
      <c r="L72" s="250">
        <f t="shared" si="3"/>
        <v>2021</v>
      </c>
      <c r="M72" s="250">
        <f t="shared" si="3"/>
        <v>2022</v>
      </c>
    </row>
    <row r="73" spans="2:13">
      <c r="B73" s="251" t="s">
        <v>244</v>
      </c>
      <c r="C73" s="255"/>
      <c r="D73" s="255"/>
      <c r="E73" s="255"/>
      <c r="F73" s="255"/>
      <c r="G73" s="255"/>
      <c r="H73" s="255"/>
      <c r="I73" s="255"/>
      <c r="J73" s="255"/>
      <c r="K73" s="255"/>
      <c r="L73" s="255"/>
      <c r="M73" s="255"/>
    </row>
    <row r="74" spans="2:13">
      <c r="B74" s="251" t="s">
        <v>245</v>
      </c>
      <c r="C74" s="252"/>
      <c r="D74" s="252"/>
      <c r="E74" s="252"/>
      <c r="F74" s="252"/>
      <c r="G74" s="252"/>
      <c r="H74" s="252"/>
      <c r="I74" s="252"/>
      <c r="J74" s="255"/>
      <c r="K74" s="255"/>
      <c r="L74" s="255"/>
      <c r="M74" s="255"/>
    </row>
    <row r="75" spans="2:13">
      <c r="B75" s="251" t="s">
        <v>246</v>
      </c>
      <c r="C75" s="252"/>
      <c r="D75" s="252"/>
      <c r="E75" s="252"/>
      <c r="F75" s="252"/>
      <c r="G75" s="252"/>
      <c r="H75" s="252"/>
      <c r="I75" s="252"/>
      <c r="J75" s="255"/>
      <c r="K75" s="255"/>
      <c r="L75" s="255"/>
      <c r="M75" s="255"/>
    </row>
    <row r="76" spans="2:13">
      <c r="B76" s="251" t="s">
        <v>247</v>
      </c>
      <c r="J76" s="255"/>
      <c r="K76" s="255"/>
      <c r="L76" s="255"/>
      <c r="M76" s="255"/>
    </row>
    <row r="78" spans="2:13" ht="13">
      <c r="B78" s="256" t="s">
        <v>252</v>
      </c>
    </row>
    <row r="79" spans="2:13" ht="15">
      <c r="C79" s="250">
        <f>C72</f>
        <v>2012</v>
      </c>
      <c r="D79" s="250">
        <f>D72</f>
        <v>2013</v>
      </c>
      <c r="E79" s="250">
        <f t="shared" ref="E79:M79" si="4">E72</f>
        <v>2014</v>
      </c>
      <c r="F79" s="250">
        <f t="shared" si="4"/>
        <v>2015</v>
      </c>
      <c r="G79" s="250">
        <f t="shared" si="4"/>
        <v>2016</v>
      </c>
      <c r="H79" s="250">
        <f t="shared" si="4"/>
        <v>2017</v>
      </c>
      <c r="I79" s="250">
        <f t="shared" si="4"/>
        <v>2018</v>
      </c>
      <c r="J79" s="250">
        <f t="shared" si="4"/>
        <v>2019</v>
      </c>
      <c r="K79" s="250">
        <f t="shared" si="4"/>
        <v>2020</v>
      </c>
      <c r="L79" s="250">
        <f t="shared" si="4"/>
        <v>2021</v>
      </c>
      <c r="M79" s="250">
        <f t="shared" si="4"/>
        <v>2022</v>
      </c>
    </row>
    <row r="80" spans="2:13">
      <c r="B80" s="251" t="s">
        <v>250</v>
      </c>
      <c r="J80" s="254"/>
      <c r="K80" s="254"/>
      <c r="L80" s="254"/>
      <c r="M80" s="254"/>
    </row>
    <row r="81" spans="2:13">
      <c r="B81" s="251" t="s">
        <v>251</v>
      </c>
      <c r="J81" s="254"/>
      <c r="K81" s="254"/>
      <c r="L81" s="254"/>
      <c r="M81" s="254"/>
    </row>
    <row r="82" spans="2:13">
      <c r="B82" s="251" t="s">
        <v>249</v>
      </c>
      <c r="J82" s="255"/>
      <c r="K82" s="255"/>
      <c r="L82" s="255"/>
      <c r="M82" s="255"/>
    </row>
    <row r="103" spans="2:13" ht="15">
      <c r="C103" s="250">
        <v>2012</v>
      </c>
      <c r="D103" s="250">
        <v>2013</v>
      </c>
      <c r="E103" s="250">
        <v>2014</v>
      </c>
      <c r="F103" s="250">
        <v>2015</v>
      </c>
      <c r="G103" s="250">
        <v>2016</v>
      </c>
      <c r="H103" s="250">
        <v>2017</v>
      </c>
      <c r="I103" s="250">
        <v>2018</v>
      </c>
      <c r="J103" s="250">
        <v>2019</v>
      </c>
      <c r="K103" s="250">
        <v>2020</v>
      </c>
      <c r="L103" s="250">
        <v>2021</v>
      </c>
      <c r="M103" s="250">
        <v>2022</v>
      </c>
    </row>
    <row r="104" spans="2:13">
      <c r="B104" t="s">
        <v>254</v>
      </c>
      <c r="J104" s="257">
        <f>Data!F24</f>
        <v>0</v>
      </c>
      <c r="K104" s="257">
        <f>Data!E24</f>
        <v>0</v>
      </c>
      <c r="L104" s="257">
        <f>Data!D24</f>
        <v>241936</v>
      </c>
      <c r="M104" s="257">
        <f>Data!C24</f>
        <v>259140</v>
      </c>
    </row>
    <row r="105" spans="2:13">
      <c r="B105" t="s">
        <v>255</v>
      </c>
      <c r="J105" s="257" t="e">
        <f>Data!#REF!</f>
        <v>#REF!</v>
      </c>
      <c r="K105" s="257" t="e">
        <f>Data!#REF!</f>
        <v>#REF!</v>
      </c>
      <c r="L105" s="257" t="e">
        <f>Data!#REF!</f>
        <v>#REF!</v>
      </c>
      <c r="M105" s="257" t="e">
        <f>Data!#REF!</f>
        <v>#REF!</v>
      </c>
    </row>
    <row r="106" spans="2:13">
      <c r="B106" t="s">
        <v>256</v>
      </c>
      <c r="J106" s="257">
        <f>Data!F33</f>
        <v>0</v>
      </c>
      <c r="K106" s="257">
        <f>Data!E33</f>
        <v>0</v>
      </c>
      <c r="L106" s="257">
        <f>Data!D33</f>
        <v>78677</v>
      </c>
      <c r="M106" s="257">
        <f>Data!C33</f>
        <v>87681</v>
      </c>
    </row>
    <row r="107" spans="2:13">
      <c r="B107" t="s">
        <v>257</v>
      </c>
      <c r="J107">
        <v>0</v>
      </c>
      <c r="K107">
        <v>0</v>
      </c>
      <c r="L107" s="257">
        <f>Data!D34</f>
        <v>0</v>
      </c>
      <c r="M107" s="257">
        <f>Data!C34</f>
        <v>0</v>
      </c>
    </row>
    <row r="108" spans="2:13">
      <c r="B108" t="s">
        <v>258</v>
      </c>
      <c r="J108" s="257" t="e">
        <f>Data!#REF!</f>
        <v>#REF!</v>
      </c>
      <c r="K108" s="257" t="e">
        <f>Data!#REF!</f>
        <v>#REF!</v>
      </c>
      <c r="L108" s="257" t="e">
        <f>Data!#REF!</f>
        <v>#REF!</v>
      </c>
      <c r="M108" s="257" t="e">
        <f>Data!#REF!</f>
        <v>#REF!</v>
      </c>
    </row>
    <row r="111" spans="2:13">
      <c r="B111" t="s">
        <v>259</v>
      </c>
      <c r="J111" s="257">
        <v>1315974</v>
      </c>
      <c r="K111" s="257">
        <v>2298560</v>
      </c>
      <c r="L111" s="257">
        <v>2061289</v>
      </c>
      <c r="M111" s="257">
        <v>2916855</v>
      </c>
    </row>
    <row r="112" spans="2:13">
      <c r="B112" t="s">
        <v>260</v>
      </c>
      <c r="J112" s="257">
        <v>3886094</v>
      </c>
      <c r="K112" s="257">
        <v>2774281</v>
      </c>
      <c r="L112" s="257">
        <v>4254707</v>
      </c>
      <c r="M112" s="257">
        <v>4294664</v>
      </c>
    </row>
    <row r="113" spans="2:15">
      <c r="B113" s="251" t="s">
        <v>261</v>
      </c>
      <c r="J113" s="258">
        <v>1.3370230781251284</v>
      </c>
      <c r="K113" s="258">
        <v>1.0795113892766026</v>
      </c>
      <c r="L113" s="258">
        <v>1.2103831624020565</v>
      </c>
      <c r="M113" s="258">
        <v>1.309293938120297</v>
      </c>
    </row>
    <row r="116" spans="2:15">
      <c r="G116" s="251"/>
      <c r="H116" s="252"/>
      <c r="I116" s="260"/>
      <c r="J116" s="260"/>
      <c r="K116" s="260"/>
      <c r="L116" s="260"/>
      <c r="M116" s="260"/>
    </row>
    <row r="117" spans="2:15">
      <c r="H117" s="252"/>
      <c r="I117" s="254"/>
      <c r="J117" s="252"/>
      <c r="K117" s="252"/>
      <c r="M117" s="252"/>
      <c r="N117" s="259"/>
      <c r="O117" s="254"/>
    </row>
    <row r="119" spans="2:15">
      <c r="G119" s="251"/>
      <c r="I119" s="260"/>
      <c r="J119" s="260"/>
      <c r="K119" s="260"/>
      <c r="L119" s="260"/>
      <c r="M119" s="260"/>
    </row>
    <row r="120" spans="2:15">
      <c r="I120" s="254"/>
      <c r="J120" s="260"/>
      <c r="K120" s="252"/>
      <c r="L120" s="259"/>
      <c r="M120" s="254"/>
      <c r="N120" s="251"/>
      <c r="O120" s="261"/>
    </row>
    <row r="122" spans="2:15">
      <c r="G122" s="251"/>
    </row>
    <row r="123" spans="2:15">
      <c r="K123" s="260"/>
      <c r="L123" s="259"/>
      <c r="M123" s="254"/>
    </row>
    <row r="125" spans="2:15">
      <c r="M125" s="26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891"/>
  <sheetViews>
    <sheetView showGridLines="0" tabSelected="1" zoomScaleNormal="100" zoomScalePageLayoutView="80" workbookViewId="0">
      <selection activeCell="C6" sqref="C6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235</v>
      </c>
      <c r="C2" s="111" t="s">
        <v>162</v>
      </c>
      <c r="D2" s="111">
        <v>1</v>
      </c>
      <c r="E2" s="111">
        <v>2</v>
      </c>
      <c r="F2" s="111">
        <v>3</v>
      </c>
      <c r="G2" s="111" t="str">
        <f>B13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1000000CNY)</v>
      </c>
      <c r="C3" s="177">
        <f>Projections!F3</f>
        <v>44926</v>
      </c>
      <c r="D3" s="177">
        <f>Projections!G3</f>
        <v>45291</v>
      </c>
      <c r="E3" s="177" t="str">
        <f>Projections!H3</f>
        <v/>
      </c>
      <c r="F3" s="177" t="str">
        <f>Projections!I3</f>
        <v/>
      </c>
      <c r="G3" s="178" t="s">
        <v>161</v>
      </c>
      <c r="I3" s="42" t="s">
        <v>74</v>
      </c>
    </row>
    <row r="4" spans="1:10" ht="15.75" customHeight="1">
      <c r="B4" s="273" t="s">
        <v>315</v>
      </c>
      <c r="C4" s="221">
        <f>IF(B4="NOPAT",Projections!F20,Projections!F8)/(Common_Shares/Data!$C$4)</f>
        <v>359.62792957132098</v>
      </c>
      <c r="D4" s="222">
        <f>IF(B4="NOPAT",Projections!G20,Projections!G8)/(Common_Shares/Data!$C$4)</f>
        <v>269.72094717849069</v>
      </c>
      <c r="E4" s="222" t="str">
        <f>IF(Projections!H8="","",IF(B4="NOPAT",Projections!H20,Projections!H8)/(Common_Shares/Data!$C$4))</f>
        <v/>
      </c>
      <c r="F4" s="222" t="str">
        <f>IF(Projections!I8="","",IF(B4="NOPAT",Projections!I20,Projections!I8)/(Common_Shares/Data!$C$4))</f>
        <v/>
      </c>
      <c r="G4" s="223">
        <f>IF(F3="",IF(E3="",1,2),3)</f>
        <v>1</v>
      </c>
      <c r="H4" s="6"/>
      <c r="I4" s="47"/>
      <c r="J4" s="35"/>
    </row>
    <row r="5" spans="1:10" ht="15.75" customHeight="1">
      <c r="B5" s="14" t="str">
        <f>B4&amp;" Growth rate"</f>
        <v>EPS Growth rate</v>
      </c>
      <c r="C5" s="100"/>
      <c r="D5" s="220">
        <f>D4/C4-1</f>
        <v>-0.25000000000000011</v>
      </c>
      <c r="E5" s="220" t="str">
        <f>IF(E4="","",E4/D4-1)</f>
        <v/>
      </c>
      <c r="F5" s="220" t="str">
        <f>IF(F4="","",F4/E4-1)</f>
        <v/>
      </c>
      <c r="G5" s="99"/>
      <c r="H5" s="6"/>
      <c r="I5" s="47"/>
      <c r="J5" s="35"/>
    </row>
    <row r="6" spans="1:10" ht="15.75" customHeight="1">
      <c r="B6" s="14" t="s">
        <v>312</v>
      </c>
      <c r="C6" s="157">
        <v>0.3</v>
      </c>
      <c r="D6" s="157">
        <v>0.3</v>
      </c>
      <c r="E6" s="157"/>
      <c r="F6" s="157"/>
      <c r="G6" s="247"/>
      <c r="H6" s="6"/>
      <c r="I6" s="45"/>
    </row>
    <row r="7" spans="1:10" ht="15.75" customHeight="1">
      <c r="B7" s="101" t="s">
        <v>316</v>
      </c>
      <c r="C7" s="153">
        <v>0.8</v>
      </c>
      <c r="D7" s="225">
        <v>0.8</v>
      </c>
      <c r="E7" s="225"/>
      <c r="F7" s="225"/>
      <c r="G7" s="226"/>
      <c r="H7" s="49"/>
      <c r="I7" s="35"/>
      <c r="J7" s="35"/>
    </row>
    <row r="8" spans="1:10" ht="15.75" customHeight="1">
      <c r="B8" s="14" t="s">
        <v>278</v>
      </c>
      <c r="C8" s="224"/>
      <c r="D8" s="136" t="str">
        <f>IF(Projections!$E2=1,"",Dashboard!C12)</f>
        <v/>
      </c>
      <c r="E8" s="136" t="str">
        <f>IF(Projections!$E2=2,"",IF(E4="","",D8))</f>
        <v/>
      </c>
      <c r="F8" s="136" t="str">
        <f>IF(Projections!$E2=3,"",IF(F4="","",D8))</f>
        <v/>
      </c>
      <c r="G8" s="136">
        <f ca="1">Dashboard!C12</f>
        <v>9.6000000000000002E-2</v>
      </c>
      <c r="H8" s="39"/>
      <c r="I8" s="36"/>
      <c r="J8" s="36"/>
    </row>
    <row r="9" spans="1:10" ht="15.75" customHeight="1" thickBot="1">
      <c r="B9" s="50" t="s">
        <v>80</v>
      </c>
      <c r="C9" s="75"/>
      <c r="D9" s="227" t="str">
        <f>IF(D8="","",1+D8)</f>
        <v/>
      </c>
      <c r="E9" s="227" t="str">
        <f>IF(E8="","",(1+D8)*(1+E8))</f>
        <v/>
      </c>
      <c r="F9" s="227" t="str">
        <f>IF(F8="","",(1+D8)*(1+E8)*(1+F8))</f>
        <v/>
      </c>
      <c r="G9" s="227">
        <f ca="1">IF(F7="",IF(E7="",1,D9),E9)*(1+G8)</f>
        <v>1.0960000000000001</v>
      </c>
      <c r="H9" s="39"/>
      <c r="I9" s="36"/>
      <c r="J9" s="36"/>
    </row>
    <row r="10" spans="1:10" ht="15.75" customHeight="1" thickTop="1">
      <c r="B10" s="8" t="str">
        <f>"PV "&amp;B7</f>
        <v>PV Dividends Per share</v>
      </c>
      <c r="C10" s="228"/>
      <c r="D10" s="229" t="str">
        <f>IF(D9="","",D7/D9)</f>
        <v/>
      </c>
      <c r="E10" s="229" t="str">
        <f>IF(E9="","",E7/E9)</f>
        <v/>
      </c>
      <c r="F10" s="229" t="str">
        <f>IF(F9="","",F7/F9)</f>
        <v/>
      </c>
      <c r="G10" s="230"/>
      <c r="H10" s="48"/>
      <c r="I10" s="35"/>
      <c r="J10" s="35"/>
    </row>
    <row r="11" spans="1:10" ht="15.75" customHeight="1">
      <c r="C11" s="6"/>
      <c r="D11" s="6"/>
      <c r="E11" s="175"/>
      <c r="F11" s="6"/>
      <c r="G11" s="6"/>
    </row>
    <row r="12" spans="1:10" ht="15.75" customHeight="1">
      <c r="B12" s="20" t="s">
        <v>234</v>
      </c>
      <c r="C12" s="98" t="str">
        <f>B3</f>
        <v>(Numbers in 1000000CNY)</v>
      </c>
      <c r="E12" s="339" t="s">
        <v>147</v>
      </c>
      <c r="F12" s="339"/>
      <c r="G12" s="60"/>
    </row>
    <row r="13" spans="1:10" ht="15.75" customHeight="1">
      <c r="B13" s="81" t="str">
        <f>"TV after Year "&amp;G4</f>
        <v>TV after Year 1</v>
      </c>
      <c r="C13" s="55" t="s">
        <v>319</v>
      </c>
      <c r="D13" s="38" t="s">
        <v>231</v>
      </c>
      <c r="E13" s="241" t="s">
        <v>146</v>
      </c>
      <c r="F13" s="104" t="str">
        <f>"Equity Value ("&amp;Dashboard!I11&amp;")"</f>
        <v>Equity Value (CNY)</v>
      </c>
      <c r="G13" s="127" t="str">
        <f>"Equity Value ("&amp;Dashboard!J4&amp;")"</f>
        <v>Equity Value (HKD)</v>
      </c>
      <c r="I13" s="53"/>
    </row>
    <row r="14" spans="1:10" ht="15.75" customHeight="1">
      <c r="B14" s="126" t="s">
        <v>161</v>
      </c>
      <c r="C14" s="219">
        <v>0.02</v>
      </c>
      <c r="D14" s="242"/>
      <c r="E14" s="96">
        <f ca="1">IF(D14="",IF(G7&lt;0,G7,G7/C14/G9),D14)</f>
        <v>0</v>
      </c>
      <c r="F14" s="96">
        <f ca="1">SUM(D10:F10)+E14</f>
        <v>0</v>
      </c>
      <c r="G14" s="243">
        <f ca="1">F14*Exchange_Rate</f>
        <v>0</v>
      </c>
      <c r="I14" s="43"/>
    </row>
    <row r="15" spans="1:10" ht="15.75" customHeight="1">
      <c r="B15" s="22"/>
      <c r="C15" s="39"/>
      <c r="D15" s="276"/>
      <c r="E15" s="215"/>
      <c r="F15" s="278" t="s">
        <v>321</v>
      </c>
      <c r="G15" s="96"/>
      <c r="I15" s="43"/>
    </row>
    <row r="16" spans="1:10" ht="15.5" customHeight="1">
      <c r="C16" s="6"/>
      <c r="D16" s="6"/>
      <c r="F16" s="277" t="s">
        <v>320</v>
      </c>
      <c r="G16" s="134"/>
    </row>
    <row r="17" spans="1:9" ht="15.75" customHeight="1"/>
    <row r="18" spans="1:9" ht="15.75" customHeight="1">
      <c r="A18" s="4"/>
      <c r="B18" s="231" t="s">
        <v>237</v>
      </c>
      <c r="C18" s="6"/>
      <c r="D18" s="6"/>
      <c r="E18" s="22" t="s">
        <v>144</v>
      </c>
      <c r="F18" s="22" t="s">
        <v>232</v>
      </c>
      <c r="G18" s="22" t="s">
        <v>233</v>
      </c>
      <c r="H18" s="84"/>
      <c r="I18" s="101"/>
    </row>
    <row r="19" spans="1:9" ht="15.75" customHeight="1">
      <c r="B19" s="76" t="s">
        <v>203</v>
      </c>
      <c r="C19" s="238" t="e">
        <f>MIN(G16,#REF!)+ABS(G16-#REF!)*Qualitative_Analysis!$E$8</f>
        <v>#REF!</v>
      </c>
      <c r="D19" s="239" t="str">
        <f>Dashboard!J4</f>
        <v>HKD</v>
      </c>
      <c r="E19" s="240" t="e">
        <f>(C19-#REF!)/C7</f>
        <v>#REF!</v>
      </c>
      <c r="F19" s="240" t="e">
        <f>C19/(Data!C29*Exchange_Rate*Data!C4/Common_Shares)</f>
        <v>#REF!</v>
      </c>
      <c r="G19" s="240" t="e">
        <f>(C19*Common_Shares)/(Data!$C$7*Data!$C$4*Exchange_Rate)</f>
        <v>#REF!</v>
      </c>
      <c r="I19" s="43"/>
    </row>
    <row r="20" spans="1:9" ht="15.75" customHeight="1">
      <c r="B20" s="6" t="s">
        <v>223</v>
      </c>
      <c r="C20" s="232">
        <v>3</v>
      </c>
      <c r="D20" s="233" t="str">
        <f>D19</f>
        <v>HKD</v>
      </c>
      <c r="E20" s="202" t="e">
        <f>(C20-#REF!)/C7</f>
        <v>#REF!</v>
      </c>
      <c r="F20" s="202">
        <f>C20/(Asset_Model!I3*Exchange_Rate*Data!C4/Common_Shares)</f>
        <v>2.0605852552372794E-3</v>
      </c>
      <c r="G20" s="202">
        <f>(C20*Common_Shares)/(Data!$C$7*Data!$C$4*Exchange_Rate)</f>
        <v>7.7096555663588966E-3</v>
      </c>
      <c r="I20" s="43"/>
    </row>
    <row r="21" spans="1:9" ht="15.75" customHeight="1">
      <c r="B21" s="234" t="s">
        <v>224</v>
      </c>
      <c r="C21" s="235" t="e">
        <f>MIN(C20,C19)+ABS(C20-C19)*Qualitative_Analysis!E64</f>
        <v>#REF!</v>
      </c>
      <c r="D21" s="233" t="str">
        <f>D20</f>
        <v>HKD</v>
      </c>
      <c r="E21" s="202" t="e">
        <f>(C21-#REF!)/C7</f>
        <v>#REF!</v>
      </c>
      <c r="F21" s="202" t="e">
        <f>C21/(Asset_Model!I3*Exchange_Rate*Data!C4/Common_Shares)</f>
        <v>#REF!</v>
      </c>
      <c r="G21" s="202" t="e">
        <f>(C21*Common_Shares)/(Data!$C$7*Data!$C$4*Exchange_Rate)</f>
        <v>#REF!</v>
      </c>
    </row>
    <row r="22" spans="1:9" ht="15.75" customHeight="1">
      <c r="B22" s="84" t="s">
        <v>204</v>
      </c>
      <c r="C22" s="236" t="e">
        <f>MAX(#REF!,C19)/(1+Dashboard!I14)</f>
        <v>#REF!</v>
      </c>
      <c r="D22" s="237" t="str">
        <f>D20</f>
        <v>HKD</v>
      </c>
      <c r="E22" s="203" t="e">
        <f>(C22-#REF!)/C7</f>
        <v>#REF!</v>
      </c>
      <c r="F22" s="203" t="e">
        <f>C22/(Asset_Model!I3*Exchange_Rate*Data!C4/Common_Shares)</f>
        <v>#REF!</v>
      </c>
      <c r="G22" s="203" t="e">
        <f>(C22*Common_Shares)/(Data!$C$7*Data!$C$4*Exchange_Rate)</f>
        <v>#REF!</v>
      </c>
    </row>
    <row r="23" spans="1:9" ht="15.75" customHeight="1"/>
    <row r="24" spans="1:9" ht="15.75" customHeight="1"/>
    <row r="25" spans="1:9" ht="15.75" customHeight="1"/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</sheetData>
  <mergeCells count="1">
    <mergeCell ref="E12:F12"/>
  </mergeCells>
  <phoneticPr fontId="31" type="noConversion"/>
  <conditionalFormatting sqref="D14:G15">
    <cfRule type="cellIs" dxfId="1" priority="7" operator="equal">
      <formula>#REF!</formula>
    </cfRule>
  </conditionalFormatting>
  <conditionalFormatting sqref="E4:F10 D8:D10">
    <cfRule type="containsBlanks" dxfId="0" priority="2">
      <formula>LEN(TRIM(D4))=0</formula>
    </cfRule>
  </conditionalFormatting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4" sqref="B4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81</v>
      </c>
      <c r="C2" s="59"/>
      <c r="D2" s="12"/>
      <c r="E2" s="6"/>
      <c r="G2" s="42" t="s">
        <v>74</v>
      </c>
    </row>
    <row r="3" spans="1:7" ht="14">
      <c r="B3" s="6" t="s">
        <v>170</v>
      </c>
      <c r="C3" s="60"/>
      <c r="D3" s="58">
        <f>IF(E3="Strongly disagree",0,IF(E3="disagree",1,IF(E3="unclear",2,IF(E3="agree",3,4))))</f>
        <v>0</v>
      </c>
      <c r="E3" s="195" t="s">
        <v>105</v>
      </c>
      <c r="G3" s="47"/>
    </row>
    <row r="4" spans="1:7" ht="14">
      <c r="B4" s="6" t="s">
        <v>172</v>
      </c>
      <c r="C4" s="60"/>
      <c r="D4" s="58">
        <f t="shared" ref="D4" si="0">IF(E4="Strongly disagree",0,IF(E4="disagree",1,IF(E4="unclear",2,IF(E4="agree",3,4))))</f>
        <v>3</v>
      </c>
      <c r="E4" s="158" t="s">
        <v>83</v>
      </c>
      <c r="G4" s="45"/>
    </row>
    <row r="5" spans="1:7" ht="14">
      <c r="B5" s="6" t="s">
        <v>167</v>
      </c>
      <c r="C5" s="60"/>
      <c r="D5" s="58">
        <f>AVERAGE(D12:D16)</f>
        <v>1.8</v>
      </c>
      <c r="E5" s="156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168</v>
      </c>
      <c r="C6" s="60"/>
      <c r="D6" s="58">
        <f>AVERAGE(D24:D28)</f>
        <v>1.6</v>
      </c>
      <c r="E6" s="156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169</v>
      </c>
      <c r="C7" s="60"/>
      <c r="D7" s="63">
        <f>IF(E7="Strongly disagree",0,IF(E7="disagree",1,IF(E7="unclear",2,IF(E7="agree",3,4))))</f>
        <v>4</v>
      </c>
      <c r="E7" s="22" t="s">
        <v>92</v>
      </c>
      <c r="G7" s="47"/>
    </row>
    <row r="8" spans="1:7" ht="14">
      <c r="B8" s="61" t="s">
        <v>84</v>
      </c>
      <c r="C8" s="60"/>
      <c r="D8" s="58">
        <f>AVERAGE(D3:D7)</f>
        <v>2.08</v>
      </c>
      <c r="E8" s="194">
        <f>D8/4</f>
        <v>0.52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85</v>
      </c>
      <c r="C10" s="16"/>
      <c r="D10" s="16"/>
      <c r="E10" s="12"/>
      <c r="G10" s="114"/>
    </row>
    <row r="11" spans="1:7" ht="15" customHeight="1">
      <c r="B11" s="62" t="s">
        <v>86</v>
      </c>
      <c r="C11" s="57"/>
      <c r="E11" s="6"/>
      <c r="G11" s="114"/>
    </row>
    <row r="12" spans="1:7" ht="15" customHeight="1">
      <c r="B12" s="32" t="s">
        <v>171</v>
      </c>
      <c r="D12" s="63">
        <f>IF(E12="Strongly disagree",0,IF(E12="disagree",1,IF(E12="unclear",2,IF(E12="agree",3,4))))</f>
        <v>0</v>
      </c>
      <c r="E12" s="158" t="s">
        <v>105</v>
      </c>
      <c r="F12" s="6"/>
      <c r="G12" s="114"/>
    </row>
    <row r="13" spans="1:7" ht="15" customHeight="1">
      <c r="B13" s="32" t="s">
        <v>87</v>
      </c>
      <c r="D13" s="63">
        <f>IF(E13="Strongly disagree",0,IF(E13="disagree",1,IF(E13="unclear",2,IF(E13="agree",3,4))))</f>
        <v>3</v>
      </c>
      <c r="E13" s="158" t="s">
        <v>83</v>
      </c>
      <c r="F13" s="6"/>
      <c r="G13" s="114"/>
    </row>
    <row r="14" spans="1:7" ht="15" customHeight="1">
      <c r="B14" s="32" t="s">
        <v>88</v>
      </c>
      <c r="D14" s="63">
        <f>IF(E14="Strongly disagree",0,IF(E14="disagree",1,IF(E14="unclear",2,IF(E14="agree",3,4))))</f>
        <v>3</v>
      </c>
      <c r="E14" s="158" t="s">
        <v>83</v>
      </c>
      <c r="F14" s="6"/>
      <c r="G14" s="114" t="s">
        <v>239</v>
      </c>
    </row>
    <row r="15" spans="1:7" ht="15" customHeight="1">
      <c r="B15" s="32" t="s">
        <v>89</v>
      </c>
      <c r="D15" s="63">
        <f>IF(E15="Strongly disagree",0,IF(E15="disagree",1,IF(E15="unclear",2,IF(E15="agree",3,4))))</f>
        <v>2</v>
      </c>
      <c r="E15" s="158" t="s">
        <v>82</v>
      </c>
      <c r="F15" s="6"/>
      <c r="G15" s="114"/>
    </row>
    <row r="16" spans="1:7" ht="15" customHeight="1">
      <c r="B16" s="32" t="s">
        <v>91</v>
      </c>
      <c r="D16" s="63">
        <f>IF(E16="Strongly disagree",0,IF(E16="disagree",1,IF(E16="unclear",2,IF(E16="agree",3,4))))</f>
        <v>1</v>
      </c>
      <c r="E16" s="158" t="s">
        <v>90</v>
      </c>
      <c r="F16" s="6"/>
      <c r="G16" s="114"/>
    </row>
    <row r="17" spans="2:7" ht="15" customHeight="1">
      <c r="B17" s="62" t="s">
        <v>93</v>
      </c>
      <c r="D17" s="25"/>
      <c r="E17" s="18"/>
      <c r="G17" s="114"/>
    </row>
    <row r="18" spans="2:7" ht="15" customHeight="1">
      <c r="B18" s="32" t="s">
        <v>186</v>
      </c>
      <c r="D18" s="63" t="e">
        <f>Asset_Model!J33</f>
        <v>#REF!</v>
      </c>
      <c r="E18" s="158" t="s">
        <v>83</v>
      </c>
      <c r="F18" s="6"/>
      <c r="G18" s="114"/>
    </row>
    <row r="19" spans="2:7" ht="15" customHeight="1">
      <c r="B19" s="32" t="s">
        <v>94</v>
      </c>
      <c r="D19" s="63">
        <f t="shared" ref="D19:D22" si="1">IF(E19="Strongly disagree",0,IF(E19="disagree",1,IF(E19="unclear",2,IF(E19="agree",3,4))))</f>
        <v>1</v>
      </c>
      <c r="E19" s="158" t="s">
        <v>90</v>
      </c>
      <c r="F19" s="6"/>
      <c r="G19" s="114"/>
    </row>
    <row r="20" spans="2:7" ht="15" customHeight="1">
      <c r="B20" s="32" t="s">
        <v>95</v>
      </c>
      <c r="D20" s="63">
        <f t="shared" si="1"/>
        <v>0</v>
      </c>
      <c r="E20" s="158" t="s">
        <v>105</v>
      </c>
      <c r="F20" s="6"/>
      <c r="G20" s="114"/>
    </row>
    <row r="21" spans="2:7" ht="15" customHeight="1">
      <c r="B21" s="32" t="s">
        <v>96</v>
      </c>
      <c r="D21" s="63">
        <f t="shared" si="1"/>
        <v>2</v>
      </c>
      <c r="E21" s="158" t="s">
        <v>82</v>
      </c>
      <c r="F21" s="6"/>
      <c r="G21" s="114"/>
    </row>
    <row r="22" spans="2:7" ht="15" customHeight="1">
      <c r="B22" s="32" t="s">
        <v>97</v>
      </c>
      <c r="D22" s="63">
        <f t="shared" si="1"/>
        <v>1</v>
      </c>
      <c r="E22" s="158" t="s">
        <v>90</v>
      </c>
      <c r="F22" s="6"/>
      <c r="G22" s="114"/>
    </row>
    <row r="23" spans="2:7" ht="15" customHeight="1">
      <c r="B23" s="62" t="s">
        <v>98</v>
      </c>
      <c r="D23" s="25"/>
      <c r="E23" s="18"/>
      <c r="G23" s="114"/>
    </row>
    <row r="24" spans="2:7" ht="15" customHeight="1">
      <c r="B24" s="32" t="s">
        <v>99</v>
      </c>
      <c r="D24" s="63">
        <f t="shared" ref="D24:D28" si="2">IF(E24="Strongly disagree",0,IF(E24="disagree",1,IF(E24="unclear",2,IF(E24="agree",3,4))))</f>
        <v>0</v>
      </c>
      <c r="E24" s="158" t="s">
        <v>105</v>
      </c>
      <c r="F24" s="6"/>
      <c r="G24" s="114"/>
    </row>
    <row r="25" spans="2:7" ht="15" customHeight="1">
      <c r="B25" s="32" t="s">
        <v>100</v>
      </c>
      <c r="D25" s="63">
        <f t="shared" si="2"/>
        <v>2</v>
      </c>
      <c r="E25" s="158" t="s">
        <v>82</v>
      </c>
      <c r="F25" s="6"/>
      <c r="G25" s="114"/>
    </row>
    <row r="26" spans="2:7" ht="15" customHeight="1">
      <c r="B26" s="32" t="s">
        <v>173</v>
      </c>
      <c r="D26" s="63">
        <f t="shared" si="2"/>
        <v>2</v>
      </c>
      <c r="E26" s="158" t="s">
        <v>82</v>
      </c>
      <c r="F26" s="6"/>
      <c r="G26" s="114"/>
    </row>
    <row r="27" spans="2:7" ht="15" customHeight="1">
      <c r="B27" s="32" t="s">
        <v>174</v>
      </c>
      <c r="D27" s="63">
        <f t="shared" si="2"/>
        <v>2</v>
      </c>
      <c r="E27" s="158" t="s">
        <v>82</v>
      </c>
      <c r="F27" s="6"/>
      <c r="G27" s="114"/>
    </row>
    <row r="28" spans="2:7" ht="15" customHeight="1">
      <c r="B28" s="32" t="s">
        <v>101</v>
      </c>
      <c r="D28" s="63">
        <f t="shared" si="2"/>
        <v>2</v>
      </c>
      <c r="E28" s="158" t="s">
        <v>82</v>
      </c>
      <c r="F28" s="6"/>
      <c r="G28" s="114"/>
    </row>
    <row r="29" spans="2:7" ht="15" customHeight="1">
      <c r="B29" s="62" t="s">
        <v>102</v>
      </c>
      <c r="D29" s="25"/>
      <c r="E29" s="18"/>
      <c r="G29" s="114"/>
    </row>
    <row r="30" spans="2:7" ht="15" customHeight="1">
      <c r="B30" s="1" t="s">
        <v>103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4"/>
    </row>
    <row r="31" spans="2:7" ht="15" customHeight="1">
      <c r="B31" s="32" t="s">
        <v>104</v>
      </c>
      <c r="D31" s="63">
        <f t="shared" ref="D31:D35" si="3">IF(E31="Strongly disagree",0,IF(E31="disagree",1,IF(E31="unclear",2,IF(E31="agree",3,4))))</f>
        <v>2</v>
      </c>
      <c r="E31" s="158" t="s">
        <v>82</v>
      </c>
      <c r="F31" s="6"/>
      <c r="G31" s="114"/>
    </row>
    <row r="32" spans="2:7" ht="15" customHeight="1">
      <c r="B32" s="32" t="s">
        <v>175</v>
      </c>
      <c r="D32" s="63">
        <f t="shared" si="3"/>
        <v>1</v>
      </c>
      <c r="E32" s="158" t="s">
        <v>90</v>
      </c>
      <c r="F32" s="6"/>
      <c r="G32" s="114"/>
    </row>
    <row r="33" spans="2:7" ht="15" customHeight="1">
      <c r="B33" s="32" t="s">
        <v>176</v>
      </c>
      <c r="D33" s="63">
        <f t="shared" si="3"/>
        <v>0</v>
      </c>
      <c r="E33" s="158" t="s">
        <v>105</v>
      </c>
      <c r="F33" s="6"/>
      <c r="G33" s="114"/>
    </row>
    <row r="34" spans="2:7" ht="15" customHeight="1">
      <c r="B34" s="32" t="s">
        <v>177</v>
      </c>
      <c r="D34" s="63">
        <f t="shared" si="3"/>
        <v>1</v>
      </c>
      <c r="E34" s="158" t="s">
        <v>90</v>
      </c>
      <c r="F34" s="6"/>
      <c r="G34" s="114"/>
    </row>
    <row r="35" spans="2:7" ht="15" customHeight="1">
      <c r="B35" s="32" t="s">
        <v>188</v>
      </c>
      <c r="D35" s="63">
        <f t="shared" si="3"/>
        <v>4</v>
      </c>
      <c r="E35" s="158" t="s">
        <v>92</v>
      </c>
      <c r="G35" s="114" t="s">
        <v>275</v>
      </c>
    </row>
    <row r="36" spans="2:7" ht="15" customHeight="1">
      <c r="B36" s="1" t="s">
        <v>106</v>
      </c>
      <c r="D36" s="64">
        <f>SUM(D37:D41)/(5*4)</f>
        <v>1</v>
      </c>
      <c r="E36" s="18" t="str">
        <f>IF(D36&gt;80%,"Very High",IF(D36&lt;=20%,"Very Low",IF(D36&lt;=40%,"Low",IF(D36&lt;=60%,"Medium","High"))))</f>
        <v>Very High</v>
      </c>
      <c r="F36" s="6"/>
      <c r="G36" s="114"/>
    </row>
    <row r="37" spans="2:7" ht="15" customHeight="1">
      <c r="B37" s="32" t="s">
        <v>107</v>
      </c>
      <c r="D37" s="63">
        <f t="shared" ref="D37:D41" si="4">IF(E37="Strongly disagree",0,IF(E37="disagree",1,IF(E37="unclear",2,IF(E37="agree",3,4))))</f>
        <v>4</v>
      </c>
      <c r="E37" s="158" t="s">
        <v>92</v>
      </c>
      <c r="F37" s="6"/>
      <c r="G37" s="114"/>
    </row>
    <row r="38" spans="2:7" ht="15" customHeight="1">
      <c r="B38" s="32" t="s">
        <v>178</v>
      </c>
      <c r="D38" s="63">
        <f t="shared" si="4"/>
        <v>4</v>
      </c>
      <c r="E38" s="158" t="s">
        <v>92</v>
      </c>
      <c r="F38" s="6"/>
      <c r="G38" s="114"/>
    </row>
    <row r="39" spans="2:7" ht="15" customHeight="1">
      <c r="B39" s="32" t="s">
        <v>179</v>
      </c>
      <c r="D39" s="63">
        <f t="shared" si="4"/>
        <v>4</v>
      </c>
      <c r="E39" s="158" t="s">
        <v>92</v>
      </c>
      <c r="F39" s="6"/>
      <c r="G39" s="114"/>
    </row>
    <row r="40" spans="2:7" ht="15" customHeight="1">
      <c r="B40" s="32" t="s">
        <v>180</v>
      </c>
      <c r="D40" s="63">
        <f t="shared" si="4"/>
        <v>4</v>
      </c>
      <c r="E40" s="158" t="s">
        <v>92</v>
      </c>
      <c r="F40" s="6"/>
      <c r="G40" s="114"/>
    </row>
    <row r="41" spans="2:7" ht="15" customHeight="1">
      <c r="B41" s="32" t="s">
        <v>181</v>
      </c>
      <c r="D41" s="63">
        <f t="shared" si="4"/>
        <v>4</v>
      </c>
      <c r="E41" s="158" t="s">
        <v>92</v>
      </c>
      <c r="G41" s="114"/>
    </row>
    <row r="42" spans="2:7" ht="15" customHeight="1">
      <c r="B42" s="1" t="s">
        <v>108</v>
      </c>
      <c r="D42" s="64">
        <f>SUM(D43:D48)/(6*4)</f>
        <v>0.54166666666666663</v>
      </c>
      <c r="E42" s="18" t="str">
        <f>IF(D42&gt;80%,"Very High",IF(D42&lt;=20%,"Very Low",IF(D42&lt;=40%,"Low",IF(D42&lt;=60%,"Medium","High"))))</f>
        <v>Medium</v>
      </c>
      <c r="F42" s="6"/>
      <c r="G42" s="114"/>
    </row>
    <row r="43" spans="2:7" ht="15" customHeight="1">
      <c r="B43" s="32" t="s">
        <v>109</v>
      </c>
      <c r="D43" s="63">
        <f t="shared" ref="D43:D48" si="5">IF(E43="Strongly disagree",0,IF(E43="disagree",1,IF(E43="unclear",2,IF(E43="agree",3,4))))</f>
        <v>1</v>
      </c>
      <c r="E43" s="158" t="s">
        <v>90</v>
      </c>
      <c r="F43" s="6"/>
      <c r="G43" s="114"/>
    </row>
    <row r="44" spans="2:7" ht="15" customHeight="1">
      <c r="B44" s="32" t="s">
        <v>110</v>
      </c>
      <c r="D44" s="63">
        <f t="shared" si="5"/>
        <v>4</v>
      </c>
      <c r="E44" s="158" t="s">
        <v>92</v>
      </c>
      <c r="F44" s="6"/>
      <c r="G44" s="114"/>
    </row>
    <row r="45" spans="2:7" ht="15" customHeight="1">
      <c r="B45" s="32" t="s">
        <v>111</v>
      </c>
      <c r="D45" s="63">
        <f t="shared" si="5"/>
        <v>4</v>
      </c>
      <c r="E45" s="158" t="s">
        <v>92</v>
      </c>
      <c r="F45" s="6"/>
      <c r="G45" s="114"/>
    </row>
    <row r="46" spans="2:7" ht="15" customHeight="1">
      <c r="B46" s="32" t="s">
        <v>112</v>
      </c>
      <c r="D46" s="63">
        <f t="shared" si="5"/>
        <v>0</v>
      </c>
      <c r="E46" s="158" t="s">
        <v>105</v>
      </c>
      <c r="F46" s="6"/>
      <c r="G46" s="114"/>
    </row>
    <row r="47" spans="2:7" ht="15" customHeight="1">
      <c r="B47" s="32" t="s">
        <v>113</v>
      </c>
      <c r="D47" s="63">
        <f t="shared" si="5"/>
        <v>4</v>
      </c>
      <c r="E47" s="158" t="s">
        <v>92</v>
      </c>
      <c r="F47" s="6"/>
      <c r="G47" s="114"/>
    </row>
    <row r="48" spans="2:7" ht="15" customHeight="1">
      <c r="B48" s="32" t="s">
        <v>139</v>
      </c>
      <c r="D48" s="63">
        <f t="shared" si="5"/>
        <v>0</v>
      </c>
      <c r="E48" s="158" t="s">
        <v>105</v>
      </c>
      <c r="F48" s="6"/>
      <c r="G48" s="114"/>
    </row>
    <row r="49" spans="2:8" ht="15" customHeight="1">
      <c r="B49" s="1" t="s">
        <v>114</v>
      </c>
      <c r="D49" s="64">
        <f>SUM(D50:D54)/(5*4)</f>
        <v>0.64319727891156453</v>
      </c>
      <c r="E49" s="18" t="str">
        <f>IF(D49&gt;80%,"Very High",IF(D49&lt;=20%,"Very Low",IF(D49&lt;=40%,"Low",IF(D49&lt;=60%,"Medium","High"))))</f>
        <v>High</v>
      </c>
      <c r="F49" s="6"/>
      <c r="G49" s="114"/>
    </row>
    <row r="50" spans="2:8" ht="15" customHeight="1">
      <c r="B50" s="32" t="s">
        <v>115</v>
      </c>
      <c r="D50" s="63">
        <f t="shared" ref="D50:D52" si="6">IF(E50="Strongly disagree",0,IF(E50="disagree",1,IF(E50="unclear",2,IF(E50="agree",3,4))))</f>
        <v>0</v>
      </c>
      <c r="E50" s="158" t="s">
        <v>105</v>
      </c>
      <c r="G50" s="114"/>
    </row>
    <row r="51" spans="2:8" ht="15" customHeight="1">
      <c r="B51" s="32" t="s">
        <v>116</v>
      </c>
      <c r="D51" s="63">
        <f t="shared" si="6"/>
        <v>4</v>
      </c>
      <c r="E51" s="158" t="s">
        <v>92</v>
      </c>
      <c r="F51" s="6"/>
      <c r="G51" s="114"/>
    </row>
    <row r="52" spans="2:8" ht="15" customHeight="1">
      <c r="B52" s="32" t="s">
        <v>182</v>
      </c>
      <c r="D52" s="63">
        <f t="shared" si="6"/>
        <v>2</v>
      </c>
      <c r="E52" s="158" t="s">
        <v>82</v>
      </c>
      <c r="G52" s="114"/>
    </row>
    <row r="53" spans="2:8" ht="15" customHeight="1">
      <c r="B53" s="32" t="s">
        <v>183</v>
      </c>
      <c r="D53" s="63">
        <f>IF(E53="Strongly disagree",0,IF(E53="disagree",1,IF(E53="unclear",2,IF(E53="agree",3,4))))</f>
        <v>3</v>
      </c>
      <c r="E53" s="158" t="s">
        <v>83</v>
      </c>
      <c r="F53" s="32"/>
      <c r="G53" s="114"/>
      <c r="H53" s="32"/>
    </row>
    <row r="54" spans="2:8" ht="15" customHeight="1">
      <c r="B54" s="32" t="s">
        <v>184</v>
      </c>
      <c r="D54" s="65">
        <f t="array" ref="D54">(1-INDEX(B68:E77,MATCH(E54,B68:B77,0),4))*4</f>
        <v>3.8639455782312924</v>
      </c>
      <c r="E54" s="158" t="s">
        <v>124</v>
      </c>
      <c r="F54" s="32"/>
      <c r="G54" s="114"/>
      <c r="H54" s="32"/>
    </row>
    <row r="55" spans="2:8" ht="15" customHeight="1">
      <c r="B55" s="1" t="s">
        <v>117</v>
      </c>
      <c r="D55" s="66">
        <f>SUM(D56:D61)/(6*4)</f>
        <v>0.54166666666666663</v>
      </c>
      <c r="E55" s="18" t="str">
        <f>IF(D55&gt;80%,"Very High",IF(D55&lt;=20%,"Very Low",IF(D55&lt;=40%,"Low",IF(D55&lt;=60%,"Medium","High"))))</f>
        <v>Medium</v>
      </c>
      <c r="F55" s="32"/>
      <c r="G55" s="114"/>
      <c r="H55" s="32"/>
    </row>
    <row r="56" spans="2:8" ht="15" customHeight="1">
      <c r="B56" s="32" t="s">
        <v>118</v>
      </c>
      <c r="D56" s="63">
        <f t="shared" ref="D56:D60" si="7">IF(E56="Strongly disagree",0,IF(E56="disagree",1,IF(E56="unclear",2,IF(E56="agree",3,4))))</f>
        <v>3</v>
      </c>
      <c r="E56" s="158" t="s">
        <v>83</v>
      </c>
      <c r="F56" s="32"/>
      <c r="G56" s="114"/>
      <c r="H56" s="32"/>
    </row>
    <row r="57" spans="2:8" ht="15" customHeight="1">
      <c r="B57" s="32" t="s">
        <v>119</v>
      </c>
      <c r="D57" s="63">
        <f t="shared" si="7"/>
        <v>0</v>
      </c>
      <c r="E57" s="158" t="s">
        <v>105</v>
      </c>
      <c r="F57" s="32"/>
      <c r="G57" s="114"/>
      <c r="H57" s="32"/>
    </row>
    <row r="58" spans="2:8" ht="15" customHeight="1">
      <c r="B58" s="32" t="s">
        <v>140</v>
      </c>
      <c r="D58" s="63">
        <f t="shared" si="7"/>
        <v>4</v>
      </c>
      <c r="E58" s="158" t="s">
        <v>92</v>
      </c>
      <c r="F58" s="32"/>
      <c r="G58" s="114"/>
      <c r="H58" s="32"/>
    </row>
    <row r="59" spans="2:8" ht="15" customHeight="1">
      <c r="B59" s="32" t="s">
        <v>141</v>
      </c>
      <c r="D59" s="63">
        <f t="shared" si="7"/>
        <v>2</v>
      </c>
      <c r="E59" s="158" t="s">
        <v>82</v>
      </c>
      <c r="F59" s="32"/>
      <c r="G59" s="114"/>
      <c r="H59" s="32"/>
    </row>
    <row r="60" spans="2:8" ht="15" customHeight="1">
      <c r="B60" s="32" t="s">
        <v>142</v>
      </c>
      <c r="D60" s="63">
        <f t="shared" si="7"/>
        <v>2</v>
      </c>
      <c r="E60" s="158" t="s">
        <v>82</v>
      </c>
      <c r="F60" s="32"/>
      <c r="G60" s="114"/>
      <c r="H60" s="32"/>
    </row>
    <row r="61" spans="2:8" ht="15" customHeight="1">
      <c r="B61" s="32" t="s">
        <v>143</v>
      </c>
      <c r="D61" s="63">
        <f>IF(E61="Strongly disagree",0,IF(E61="disagree",1,IF(E61="non-perishable",2,IF(E61="agree",3,4))))</f>
        <v>2</v>
      </c>
      <c r="E61" s="158" t="s">
        <v>221</v>
      </c>
      <c r="F61" s="32"/>
      <c r="G61" s="114"/>
      <c r="H61" s="32"/>
    </row>
    <row r="62" spans="2:8" ht="15" customHeight="1">
      <c r="B62" s="87" t="s">
        <v>120</v>
      </c>
      <c r="D62" s="80">
        <f>1-AVERAGE(D30,D36,D42,D49,D55)</f>
        <v>0.37469387755102046</v>
      </c>
      <c r="E62" s="18" t="str">
        <f>IF(D62&gt;80%,"Very Low",IF(D62&lt;=20%,"Very High",IF(D62&lt;=40%,"High",IF(D62&lt;=60%,"Medium","Low"))))</f>
        <v>High</v>
      </c>
      <c r="F62" s="32"/>
      <c r="G62" s="114"/>
      <c r="H62" s="32"/>
    </row>
    <row r="63" spans="2:8" ht="15" customHeight="1">
      <c r="D63" s="6"/>
      <c r="E63" s="6"/>
      <c r="G63" s="114"/>
    </row>
    <row r="64" spans="2:8" ht="15" customHeight="1">
      <c r="B64" s="61" t="s">
        <v>121</v>
      </c>
      <c r="D64" s="58">
        <f>E64*4</f>
        <v>0</v>
      </c>
      <c r="E64" s="196"/>
      <c r="G64" s="114"/>
    </row>
    <row r="65" spans="2:7" ht="15" customHeight="1">
      <c r="G65" s="115"/>
    </row>
    <row r="66" spans="2:7" ht="15" customHeight="1">
      <c r="B66" s="33" t="s">
        <v>122</v>
      </c>
      <c r="C66" s="7"/>
      <c r="D66" s="7"/>
      <c r="E66" s="34"/>
    </row>
    <row r="67" spans="2:7" ht="15" customHeight="1">
      <c r="B67" s="67" t="s">
        <v>123</v>
      </c>
      <c r="C67" s="68"/>
      <c r="D67" s="68"/>
      <c r="E67" s="69"/>
    </row>
    <row r="68" spans="2:7" ht="15" customHeight="1">
      <c r="B68" s="70" t="s">
        <v>124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125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126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127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128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129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130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131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132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133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8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2023-09-27T02:57:42Z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