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6B296DA4-9AC7-48FE-A3A2-62EC721811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G11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B18" i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<sst xmlns="http://schemas.openxmlformats.org/spreadsheetml/2006/main" count="488" uniqueCount="417">
  <si>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</si>
  <si>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</si>
  <si>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</si>
  <si>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</si>
  <si>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</si>
  <si>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</si>
  <si>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</si>
  <si>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</si>
  <si>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</si>
  <si>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</si>
  <si>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</si>
  <si>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</si>
  <si>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</si>
  <si>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</si>
  <si>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</si>
  <si>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</si>
  <si>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</si>
  <si>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</si>
  <si>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</si>
  <si>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</si>
  <si>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</si>
  <si>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</si>
  <si>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</si>
  <si>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</si>
  <si>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</si>
  <si>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</si>
  <si>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</si>
  <si>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</si>
  <si>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</si>
  <si>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</si>
  <si>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</si>
  <si>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</si>
  <si>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</si>
  <si>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</si>
  <si>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</si>
  <si>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</si>
  <si>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</si>
  <si>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</si>
  <si>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</si>
  <si>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</si>
  <si>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</si>
  <si>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</si>
  <si>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</si>
  <si>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</si>
  <si>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</si>
  <si>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</si>
  <si>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</si>
  <si>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</si>
  <si>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</si>
  <si>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</si>
  <si>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</si>
  <si>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</si>
  <si>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</si>
  <si>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</si>
  <si>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</si>
  <si>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</si>
  <si>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</si>
  <si>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</si>
  <si>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</si>
  <si>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</si>
  <si>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</si>
  <si>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</si>
  <si>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</si>
  <si>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</si>
  <si>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</si>
  <si>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</si>
  <si>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</si>
  <si>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</si>
  <si>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</si>
  <si>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</si>
  <si>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</si>
  <si>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</si>
  <si>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</si>
  <si>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</si>
  <si>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</si>
  <si>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</si>
  <si>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</si>
  <si>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</si>
  <si>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</si>
  <si>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</si>
  <si>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</si>
  <si>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</si>
  <si>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</si>
  <si>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</si>
  <si>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</si>
  <si>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</si>
  <si>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</si>
  <si>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</si>
  <si>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</si>
  <si>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</si>
  <si>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</si>
  <si>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</si>
  <si>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</si>
  <si>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</si>
  <si>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</si>
  <si>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</si>
  <si>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</si>
  <si>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</si>
  <si>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</si>
  <si>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</si>
  <si>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</si>
  <si>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</si>
  <si>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</si>
  <si>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</si>
  <si>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</si>
  <si>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</si>
  <si>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</si>
  <si>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</si>
  <si>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</si>
  <si>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</si>
  <si>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</si>
  <si>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</si>
  <si>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</si>
  <si>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</si>
  <si>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</si>
  <si>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</si>
  <si>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</si>
  <si>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</si>
  <si>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</si>
  <si>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</si>
  <si>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</si>
  <si>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</si>
  <si>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</si>
  <si>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</si>
  <si>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</si>
  <si>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</si>
  <si>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</si>
  <si>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</si>
  <si>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</si>
  <si>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</si>
  <si>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</si>
  <si>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</si>
  <si>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</si>
  <si>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</si>
  <si>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</si>
  <si>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</si>
  <si>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</si>
  <si>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</si>
  <si>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</si>
  <si>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</si>
  <si>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</si>
  <si>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</si>
  <si>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</si>
  <si>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</si>
  <si>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</si>
  <si>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</si>
  <si>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</si>
  <si>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</si>
  <si>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</si>
  <si>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</si>
  <si>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</si>
  <si>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</si>
  <si>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</si>
  <si>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</si>
  <si>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</si>
  <si>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</si>
  <si>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</si>
  <si>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</si>
  <si>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</si>
  <si>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</si>
  <si>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</si>
  <si>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</si>
  <si>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</si>
  <si>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</si>
  <si>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</si>
  <si>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</si>
  <si>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</si>
  <si>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</si>
  <si>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</si>
  <si>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</si>
  <si>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</si>
  <si>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</si>
  <si>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</si>
  <si>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</si>
  <si>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</si>
  <si>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</si>
  <si>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</si>
  <si>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</si>
  <si>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</si>
  <si>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</si>
  <si>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</si>
  <si>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</si>
  <si>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</si>
  <si>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</si>
  <si>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</si>
  <si>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</si>
  <si>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</si>
  <si>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</si>
  <si>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</si>
  <si>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</si>
  <si>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</si>
  <si>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</si>
  <si>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</si>
  <si>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</si>
  <si>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</si>
  <si>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</si>
  <si>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</si>
  <si>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</si>
  <si>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</si>
  <si>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</si>
  <si>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</si>
  <si>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</si>
  <si>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</si>
  <si>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</si>
  <si>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</si>
  <si>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</si>
  <si>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</si>
  <si>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</si>
  <si>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</si>
  <si>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</si>
  <si>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</si>
  <si>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</si>
  <si>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</si>
  <si>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</si>
  <si>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</si>
  <si>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</si>
  <si>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</si>
  <si>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</si>
  <si>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</si>
  <si>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</si>
  <si>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</si>
  <si>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</si>
  <si>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</si>
  <si>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</si>
  <si>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</si>
  <si>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</si>
  <si>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</si>
  <si>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</si>
  <si>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</si>
  <si>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</si>
  <si>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</si>
  <si>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</si>
  <si>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</si>
  <si>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</si>
  <si>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</si>
  <si>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</si>
  <si>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</si>
  <si>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</si>
  <si>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</si>
  <si>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</si>
  <si>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</si>
  <si>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</si>
  <si>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</si>
  <si>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</si>
  <si>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</si>
  <si>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</si>
  <si>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</si>
  <si>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</si>
  <si>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</si>
  <si>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</si>
  <si>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</si>
  <si>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</si>
  <si>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</si>
  <si>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</si>
  <si>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</si>
  <si>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</si>
  <si>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</si>
  <si>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</si>
  <si>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</si>
  <si>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</si>
  <si>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</si>
  <si>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</si>
  <si>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</si>
  <si>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</si>
  <si>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</si>
  <si>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</si>
  <si>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</si>
  <si>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</si>
  <si>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</si>
  <si>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</si>
  <si>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</si>
  <si>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</si>
  <si>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</si>
  <si>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</si>
  <si>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</si>
  <si>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</si>
  <si>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</si>
  <si>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</si>
  <si>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</si>
  <si>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</si>
  <si>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</si>
  <si>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</si>
  <si>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</si>
  <si>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</si>
  <si>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</si>
  <si>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</si>
  <si>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</si>
  <si>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</si>
  <si>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</si>
  <si>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</si>
  <si>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</si>
  <si>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</si>
  <si>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</si>
  <si>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</si>
  <si>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</si>
  <si>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</si>
  <si>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</si>
  <si>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</si>
  <si>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</si>
  <si>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</si>
  <si>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</si>
  <si>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</si>
  <si>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</si>
  <si>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</si>
  <si>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</si>
  <si>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</si>
  <si>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</si>
  <si>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</si>
  <si>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</si>
  <si>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</si>
  <si>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</si>
  <si>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</si>
  <si>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</si>
  <si>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</si>
  <si>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</si>
  <si>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</si>
  <si>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</si>
  <si>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</si>
  <si>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</si>
  <si>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</si>
  <si>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</si>
  <si>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</si>
  <si>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</si>
  <si>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</si>
  <si>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</si>
  <si>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</si>
  <si>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</si>
  <si>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</si>
  <si>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</si>
  <si>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</si>
  <si>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</si>
  <si>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</si>
  <si>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</si>
  <si>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</si>
  <si>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</si>
  <si>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</si>
  <si>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</si>
  <si>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</si>
  <si>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</si>
  <si>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</si>
  <si>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</si>
  <si>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</si>
  <si>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</si>
  <si>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</si>
  <si>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</si>
  <si>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</si>
  <si>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</si>
  <si>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</si>
  <si>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</si>
  <si>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</si>
  <si>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</si>
  <si>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</si>
  <si>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</si>
  <si>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</si>
  <si>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</si>
  <si>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</si>
  <si>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</si>
  <si>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</si>
  <si>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</si>
  <si>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</si>
  <si>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</si>
  <si>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</si>
  <si>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</si>
  <si>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</si>
  <si>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</si>
  <si>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</si>
  <si>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</si>
  <si>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</si>
  <si>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</si>
  <si>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</si>
  <si>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</si>
  <si>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</si>
  <si>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</si>
  <si>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</si>
  <si>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</si>
  <si>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</si>
  <si>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</si>
  <si>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</si>
  <si>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</si>
  <si>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</si>
  <si>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</si>
  <si>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</si>
  <si>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</si>
  <si>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</si>
  <si>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</si>
  <si>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</si>
  <si>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</si>
  <si>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</si>
  <si>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</si>
  <si>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</si>
  <si>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</si>
  <si>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</si>
  <si>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</si>
  <si>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</si>
  <si>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</si>
  <si>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</si>
  <si>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</si>
  <si>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</si>
  <si>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</si>
  <si>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</si>
  <si>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</si>
  <si>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</si>
  <si>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</si>
  <si>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</si>
  <si>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</si>
  <si>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</si>
  <si>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</si>
  <si>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</si>
  <si>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</si>
  <si>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</si>
  <si>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1. 京東方被美國制裁，多方面受制，難以開拓海外市場
2. 電子元器件因制裁導致短缺
3. 原材料及耗用品價格上升</t>
  </si>
  <si>
    <t>1. 液晶面板价格21年上半年后转入了下行周期
2. 下游车厂打价格战
3. 原材料及耗用品价格上升</t>
  </si>
  <si>
    <t>COGS went up due to higher material cost</t>
  </si>
  <si>
    <t>1. 因制裁導業務受阻的可能性較低，關鍵零件國產率較高
2. 主要竞争对手为深天马、TCL华星
3. 根据“王氏定律”，每三年，液晶显示面板价格会下降50</t>
  </si>
  <si>
    <t>1. 背靠京东方集团，获得充沛面板生产资源及技术支持
2. 呎吋大於8英吋的TFT-LCD顯示屏，取得了市場佔有率第一位
3. 強大的客戶網絡，並獲得主要汽車製造商的量產項目</t>
  </si>
  <si>
    <t>1. 电动化率提升、座舱升级、多屏化
2. 大屏化及高清化趋势继续快速增长
3. 产能稳步扩张，高世代产能率先释放利于大尺寸面板出货</t>
  </si>
  <si>
    <t>1. Uncertain.
2. Uncertain
3.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</si>
</sst>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176356</xdr:colOff>
      <xdr:row>25</xdr:row>
      <xdr:rowOff>83605</xdr:rowOff>
    </xdr:from>
    <xdr:to>
      <xdr:col>15</xdr:col>
      <xdr:colOff>824345</xdr:colOff>
      <xdr:row>43</xdr:row>
      <xdr:rowOff>139843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4A089-41A4-15C0-6738-D1E3B665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1612" y="4283264"/>
          <a:ext cx="4198216" cy="2978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4" zoomScaleNormal="100" workbookViewId="0">
      <selection activeCell="E35" sqref="E35:F3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6.82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/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5398.5413363200005</v>
      </c>
      <c r="J6" s="350"/>
      <c r="K6" s="91"/>
    </row>
    <row r="7" spans="1:12" ht="15.75" customHeight="1">
      <c r="B7" s="86" t="s">
        <v>10</v>
      </c>
      <c r="C7" s="218">
        <f>(Data!C42*Exchange_Rate)/I4</f>
        <v>3.3712810305915546E-2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9.2686618038598958</v>
      </c>
      <c r="J9" s="166">
        <f>IF(I9="NNI","NNI",1/I9)</f>
        <v>0.10789043997522427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1.3116713036214585</v>
      </c>
      <c r="J10" s="223">
        <f>I4/(Data!C7*Data!C4/Common_Shares*Exchange_Rate)</f>
        <v>0.50348438523194661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7.3450236174208916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6.82</v>
      </c>
      <c r="C16" s="373">
        <v>0.2</v>
      </c>
      <c r="D16" s="238">
        <f ca="1">I37/B16-(1+C16)</f>
        <v>0.30526976250439319</v>
      </c>
      <c r="E16" s="354" t="s">
        <v>21</v>
      </c>
      <c r="F16" s="351">
        <f>(Val_Models!G16)*Exchange_Rate</f>
        <v>1.9138465817405177</v>
      </c>
      <c r="G16" s="354" t="s">
        <v>22</v>
      </c>
      <c r="H16" s="239">
        <f>B16-$F$16</f>
        <v>4.9061534182594828</v>
      </c>
      <c r="I16" s="367">
        <v>2.3E-2</v>
      </c>
      <c r="J16" s="166">
        <f>I16/B16</f>
        <v>3.3724340175953077E-3</v>
      </c>
    </row>
    <row r="17" spans="1:10" ht="15.75" customHeight="1">
      <c r="B17" s="116">
        <f ca="1">MIN((I37+I38)/2,I37/(1+C16), IF(J20=0,E14,I37/(1+C16)))</f>
        <v>8.0709793371083371</v>
      </c>
      <c r="C17" s="374"/>
      <c r="D17" s="149">
        <f ca="1">I37/B17-(1+C16)</f>
        <v>7.1957138222340289E-2</v>
      </c>
      <c r="E17" s="355"/>
      <c r="F17" s="352"/>
      <c r="G17" s="355"/>
      <c r="H17" s="236">
        <f ca="1">B17-$F$16</f>
        <v>6.1571327553678197</v>
      </c>
      <c r="I17" s="368"/>
      <c r="J17" s="149">
        <f ca="1">I16/B17</f>
        <v>2.8497161297702466E-3</v>
      </c>
    </row>
    <row r="18" spans="1:10" ht="15.75" customHeight="1">
      <c r="B18" s="129">
        <f>C37</f>
        <v>5.84</v>
      </c>
      <c r="C18" s="375"/>
      <c r="D18" s="237">
        <f ca="1">I37/B18-(1+C16)</f>
        <v>0.55786640073287019</v>
      </c>
      <c r="E18" s="356"/>
      <c r="F18" s="353"/>
      <c r="G18" s="356"/>
      <c r="H18" s="98">
        <f>B18-$F$16</f>
        <v>3.9261534182594824</v>
      </c>
      <c r="I18" s="369"/>
      <c r="J18" s="158">
        <f>I16/B18</f>
        <v>3.9383561643835619E-3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414</v>
      </c>
      <c r="D22" s="337"/>
      <c r="E22" s="337"/>
      <c r="F22" s="337"/>
      <c r="G22" s="358" t="s">
        <v>410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415</v>
      </c>
      <c r="D23" s="347"/>
      <c r="E23" s="347"/>
      <c r="F23" s="347"/>
      <c r="G23" s="346" t="s">
        <v>413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411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416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0.11174242424242424</v>
      </c>
      <c r="D29" s="365"/>
      <c r="E29" s="364">
        <f>E33/D27</f>
        <v>8.8484848484848486E-2</v>
      </c>
      <c r="F29" s="365"/>
      <c r="G29" s="371">
        <f>G33/D27</f>
        <v>0</v>
      </c>
      <c r="H29" s="371"/>
      <c r="I29" s="370">
        <f>C29+E29+G29</f>
        <v>0.20022727272727273</v>
      </c>
      <c r="J29" s="370"/>
    </row>
    <row r="30" spans="1:10" ht="15.75" customHeight="1">
      <c r="B30" s="18" t="s">
        <v>32</v>
      </c>
      <c r="C30" s="349">
        <v>10000</v>
      </c>
      <c r="D30" s="339"/>
      <c r="E30" s="349">
        <v>10000</v>
      </c>
      <c r="F30" s="339"/>
      <c r="G30" s="349"/>
      <c r="H30" s="349"/>
      <c r="I30" s="376">
        <f>C30+E30+G30</f>
        <v>20000</v>
      </c>
      <c r="J30" s="376"/>
    </row>
    <row r="31" spans="1:10" ht="15.75" customHeight="1">
      <c r="B31" s="18" t="s">
        <v>33</v>
      </c>
      <c r="C31" s="363">
        <v>7.375</v>
      </c>
      <c r="D31" s="339"/>
      <c r="E31" s="363">
        <v>5.84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5837.8654479999996</v>
      </c>
      <c r="D32" s="365"/>
      <c r="E32" s="328">
        <f>E31*$I$5/1000000</f>
        <v>4622.7978598400005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73750</v>
      </c>
      <c r="D33" s="378"/>
      <c r="E33" s="329">
        <f>E30*E31</f>
        <v>58400</v>
      </c>
      <c r="F33" s="378"/>
      <c r="G33" s="329">
        <f>G30*G31</f>
        <v>0</v>
      </c>
      <c r="H33" s="329"/>
      <c r="I33" s="329">
        <f>C33+E33+G33</f>
        <v>132150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6.6074999999999999</v>
      </c>
      <c r="F34" s="365"/>
      <c r="G34" s="78"/>
      <c r="H34" s="78"/>
      <c r="I34" s="332">
        <f>IF(I33=0,"",I33/I30)</f>
        <v>6.6074999999999999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5230.3316539200005</v>
      </c>
      <c r="F35" s="377"/>
      <c r="G35" s="230"/>
      <c r="H35" s="230"/>
      <c r="I35" s="331">
        <f>IF(I34="","",I34*$I$5/1000000)</f>
        <v>5230.3316539200005</v>
      </c>
      <c r="J35" s="331"/>
    </row>
    <row r="36" spans="2:11" ht="15.75" customHeight="1"/>
    <row r="37" spans="2:11" ht="15.75" customHeight="1">
      <c r="B37" s="87" t="s">
        <v>256</v>
      </c>
      <c r="C37" s="326">
        <f>E31</f>
        <v>5.84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10.265939780279961</v>
      </c>
      <c r="J37" s="325"/>
    </row>
    <row r="38" spans="2:11" ht="15.75" customHeight="1">
      <c r="B38" s="87" t="s">
        <v>281</v>
      </c>
      <c r="C38" s="326">
        <f>E34</f>
        <v>6.6074999999999999</v>
      </c>
      <c r="D38" s="327"/>
      <c r="E38" s="6"/>
      <c r="F38" s="6"/>
      <c r="G38" s="323" t="s">
        <v>280</v>
      </c>
      <c r="H38" s="323"/>
      <c r="I38" s="324">
        <f ca="1">Val_Models!C47</f>
        <v>5.8760188939367133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0.39199183461423193</v>
      </c>
      <c r="F47" s="171">
        <f ca="1">I37/C38-1</f>
        <v>0.55367987594097023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-0.20325167539841171</v>
      </c>
      <c r="F48" s="171">
        <f ca="1">Val_Models!C47/C38-1</f>
        <v>-0.11070466985445127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0.57913750993522828</v>
      </c>
      <c r="F50" s="171">
        <f ca="1">IF(F47&lt;=0,0,AVERAGE(F41:F44,0.5*(1+F47+F48-C16)))</f>
        <v>0.60456101462229817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1.9286032149346559</v>
      </c>
      <c r="F51" s="234">
        <f ca="1">IF(F48&gt;=0,100,F47/ABS(F48))</f>
        <v>5.0014139120682053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3.2983129108439186</v>
      </c>
      <c r="F52" s="232">
        <f ca="1">MAX(C16*2.5/F47,1)+IF(F47&lt;C16,100,0)+IF(D18&lt;0,100,0)+IF(J20=1,2/(1+F47+F48-C16),0)</f>
        <v>2.6090425538711726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0.10942446078587625</v>
      </c>
      <c r="F53" s="217">
        <f ca="1">MIN(MAX(F50-ABS((1-F50)/F51),0)/F52,H53)</f>
        <v>0.2014131870262755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403</v>
      </c>
    </row>
    <row r="65" spans="2:2" ht="15.75" customHeight="1">
      <c r="B65" s="3" t="s">
        <v>406</v>
      </c>
    </row>
    <row r="66" spans="2:2" ht="15.75" customHeight="1">
      <c r="B66" s="3" t="s">
        <v>405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F17" sqref="F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408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E26" sqref="E2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1057468.9620089319</v>
      </c>
      <c r="E6" s="149">
        <f>1-D6/D3</f>
        <v>0.74125509228376019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1.3359049920356905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384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395</v>
      </c>
      <c r="G23" s="6"/>
      <c r="H23" s="6"/>
      <c r="I23" s="6"/>
    </row>
    <row r="24" spans="2:10" ht="15" customHeight="1">
      <c r="B24" s="41" t="s">
        <v>385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393</v>
      </c>
      <c r="I24" s="312">
        <f>I11+I12+I13</f>
        <v>721194</v>
      </c>
    </row>
    <row r="25" spans="2:10" ht="15" customHeight="1">
      <c r="B25" s="41" t="s">
        <v>389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396</v>
      </c>
      <c r="I25" s="184">
        <f>E28/I28</f>
        <v>1.1452720082709331</v>
      </c>
    </row>
    <row r="26" spans="2:10" ht="15" customHeight="1">
      <c r="B26" s="41" t="s">
        <v>387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388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386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394</v>
      </c>
      <c r="I44" s="312">
        <f>I30+I31+I32</f>
        <v>84082</v>
      </c>
    </row>
    <row r="45" spans="2:10" ht="15" customHeight="1">
      <c r="B45" s="41" t="s">
        <v>390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391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392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1.3116713036214582</v>
      </c>
      <c r="E53" s="51">
        <f>MAX(C53,C53*Dashboard!I10)</f>
        <v>66378.43799106752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3856861.7743110685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397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401</v>
      </c>
      <c r="L4" s="36"/>
    </row>
    <row r="5" spans="1:12" ht="15.75" customHeight="1">
      <c r="B5" s="118" t="s">
        <v>398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399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400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G9*(1-G12)</f>
        <v>10451693.1072</v>
      </c>
      <c r="H11" s="204" t="str">
        <f>IF(H9="","",H9*(1-H12))</f>
        <v/>
      </c>
      <c r="I11" s="204" t="str">
        <f>IF(I9="","",I9*(1-I12))</f>
        <v/>
      </c>
      <c r="J11" s="6"/>
      <c r="K11" s="77" t="s">
        <v>412</v>
      </c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v>0.04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435487.21279999986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1.8068234585830634E-3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-0.86091202149473334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19671.212799999863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1.3551175939372974E-3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14753.409599999897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409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407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-140892.1352280002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Q33" sqref="Q33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397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398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399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400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1" sqref="G2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402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-140892.1352280002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-0.17798962764078105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-0.17798962764078105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1514953.0620089325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1.9138465817405177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-66378.43799106752</v>
      </c>
      <c r="D18" s="106">
        <f>C18/(Dashboard!I5/Data!C4)</f>
        <v>-8.3856160191536314E-2</v>
      </c>
      <c r="E18" s="355"/>
      <c r="F18" s="89">
        <f>D15+(MIN(D4,0)*Data!C$4/Dashboard!I5)</f>
        <v>2.9812476032592521</v>
      </c>
      <c r="G18" s="88">
        <f>SUM(D16:D18)</f>
        <v>-1.0674010215187344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383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0.4</v>
      </c>
      <c r="D22" s="268">
        <f>C22*D4*Data!C4/Common_Shares</f>
        <v>5.5015282949015321</v>
      </c>
      <c r="E22" s="239">
        <f>IF(D22="",IF(G9&lt;0,G9,G9*C22/G11),D22)</f>
        <v>5.5015282949015321</v>
      </c>
      <c r="F22" s="239">
        <f>SUM(D12:F12)+E22+$G$16</f>
        <v>7.4153748766420495</v>
      </c>
      <c r="G22" s="271">
        <f>F22*Exchange_Rate</f>
        <v>7.4153748766420495</v>
      </c>
      <c r="I22" s="43" t="s">
        <v>404</v>
      </c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20.206428162288109</v>
      </c>
      <c r="G23" s="272">
        <f>F23*Exchange_Rate</f>
        <v>20.206428162288109</v>
      </c>
      <c r="I23" s="43"/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13.440874620844603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-140892.1352280002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-167466.24322800021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-0.21156081016386274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-0.21156081016386274</v>
      </c>
      <c r="H34" s="6"/>
      <c r="I34" s="43"/>
    </row>
    <row r="35" spans="1:9" ht="15.75" customHeight="1">
      <c r="B35" s="141" t="s">
        <v>306</v>
      </c>
      <c r="C35" s="273">
        <f>Dashboard!C31</f>
        <v>7.375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0.59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-0.80156081016386271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0.92673904591836742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-0.86492612315643047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1.3359049920356905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0.47097886887925999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7.3450236174208916</v>
      </c>
      <c r="D44" s="262" t="str">
        <f>Dashboard!J4</f>
        <v>HKD</v>
      </c>
      <c r="E44" s="263">
        <f ca="1">(C44-G16)/C9</f>
        <v>-2.2247743469553201</v>
      </c>
      <c r="F44" s="263">
        <f ca="1">C44/(Data!C29*Exchange_Rate*Data!C4/Common_Shares)</f>
        <v>1.4126476104681613</v>
      </c>
      <c r="G44" s="263">
        <f ca="1">C44/(Data!C7*Data!C4*Exchange_Rate/Common_Shares)</f>
        <v>0.54224409098699211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-4.7647194873349044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10.265939780279961</v>
      </c>
      <c r="D46" s="256" t="str">
        <f>D45</f>
        <v>HKD</v>
      </c>
      <c r="E46" s="223">
        <f ca="1">(C46-G16)/C9</f>
        <v>-3.4212699327269882</v>
      </c>
      <c r="F46" s="223">
        <f ca="1">C46/(Asset_Model!I3*Exchange_Rate*Data!C4/Common_Shares)</f>
        <v>2.0132891234576706</v>
      </c>
      <c r="G46" s="223">
        <f ca="1">C46/(Data!C7*Data!C4*Exchange_Rate/Common_Shares)</f>
        <v>0.75787982098276263</v>
      </c>
    </row>
    <row r="47" spans="1:9" ht="15.75" customHeight="1">
      <c r="B47" s="84" t="s">
        <v>280</v>
      </c>
      <c r="C47" s="259">
        <f ca="1">MAX(G41,C44)/(1+Dashboard!I14)</f>
        <v>5.8760188939367133</v>
      </c>
      <c r="D47" s="260" t="str">
        <f>D45</f>
        <v>HKD</v>
      </c>
      <c r="E47" s="224">
        <f ca="1">(C47-G16)/C9</f>
        <v>-1.6230255910423432</v>
      </c>
      <c r="F47" s="224">
        <f ca="1">C47/(Asset_Model!I3*Exchange_Rate*Data!C4/Common_Shares)</f>
        <v>1.1523664838867718</v>
      </c>
      <c r="G47" s="224">
        <f ca="1">C47/(Data!C7*Data!C4*Exchange_Rate/Common_Shares)</f>
        <v>0.43379527278959368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2023-09-27T03:42:11Z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